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drawings/drawing9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11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2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fileSharing userName="Roman Petrla" reservationPassword="DE11"/>
  <workbookPr autoCompressPictures="0"/>
  <bookViews>
    <workbookView xWindow="40" yWindow="-20" windowWidth="19320" windowHeight="11800" tabRatio="970" firstSheet="8" activeTab="14"/>
  </bookViews>
  <sheets>
    <sheet name="Rozvaha" sheetId="2" r:id="rId1"/>
    <sheet name="VZZ" sheetId="1" r:id="rId2"/>
    <sheet name="HA - Rozvaha" sheetId="4" r:id="rId3"/>
    <sheet name="HA - Rozvaha (výběr)" sheetId="7" r:id="rId4"/>
    <sheet name="HA - Rozvaha - word" sheetId="9" r:id="rId5"/>
    <sheet name="HA - VZZ" sheetId="3" r:id="rId6"/>
    <sheet name="HA - VZZ (výběr)" sheetId="6" r:id="rId7"/>
    <sheet name="HA - VZZ - word" sheetId="8" r:id="rId8"/>
    <sheet name="VA - Rozvaha" sheetId="15" r:id="rId9"/>
    <sheet name="VA - Rozvaha (výběr)" sheetId="16" r:id="rId10"/>
    <sheet name="VA - VZZ" sheetId="13" r:id="rId11"/>
    <sheet name="VA - VZZ (výběr)" sheetId="14" r:id="rId12"/>
    <sheet name="ČPK" sheetId="10" r:id="rId13"/>
    <sheet name="Rentabilita" sheetId="19" r:id="rId14"/>
    <sheet name="Zadluženost" sheetId="11" r:id="rId15"/>
    <sheet name="Likvidita" sheetId="12" r:id="rId16"/>
    <sheet name="Aktivita" sheetId="20" r:id="rId17"/>
    <sheet name="Bilanční pravidla" sheetId="21" r:id="rId18"/>
    <sheet name="Rozklad ROE" sheetId="23" r:id="rId19"/>
    <sheet name="Altmanův model" sheetId="22" r:id="rId20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2" i="11" l="1"/>
  <c r="E8" i="4"/>
  <c r="D8" i="4"/>
  <c r="G8" i="4"/>
  <c r="E16" i="11"/>
  <c r="F16" i="11"/>
  <c r="G16" i="11"/>
  <c r="H16" i="11"/>
  <c r="I16" i="11"/>
  <c r="P4" i="11"/>
  <c r="D47" i="21"/>
  <c r="E47" i="21"/>
  <c r="F47" i="21"/>
  <c r="G47" i="21"/>
  <c r="C47" i="21"/>
  <c r="D34" i="21"/>
  <c r="D35" i="21"/>
  <c r="E34" i="21"/>
  <c r="E35" i="21"/>
  <c r="F34" i="21"/>
  <c r="F35" i="21"/>
  <c r="G34" i="21"/>
  <c r="G35" i="21"/>
  <c r="C34" i="21"/>
  <c r="C35" i="21"/>
  <c r="D17" i="21"/>
  <c r="D21" i="21"/>
  <c r="D22" i="21"/>
  <c r="E17" i="21"/>
  <c r="E21" i="21"/>
  <c r="E22" i="21"/>
  <c r="F17" i="21"/>
  <c r="F21" i="21"/>
  <c r="F22" i="21"/>
  <c r="G17" i="21"/>
  <c r="G21" i="21"/>
  <c r="G22" i="21"/>
  <c r="C17" i="21"/>
  <c r="C21" i="21"/>
  <c r="C22" i="21"/>
  <c r="D9" i="21"/>
  <c r="D13" i="21"/>
  <c r="D14" i="21"/>
  <c r="E9" i="21"/>
  <c r="E13" i="21"/>
  <c r="E14" i="21"/>
  <c r="F9" i="21"/>
  <c r="F13" i="21"/>
  <c r="F14" i="21"/>
  <c r="G9" i="21"/>
  <c r="G13" i="21"/>
  <c r="G14" i="21"/>
  <c r="C9" i="21"/>
  <c r="C13" i="21"/>
  <c r="C14" i="21"/>
  <c r="I18" i="11"/>
  <c r="I15" i="11"/>
  <c r="H18" i="11"/>
  <c r="H15" i="11"/>
  <c r="G18" i="11"/>
  <c r="G15" i="11"/>
  <c r="F18" i="11"/>
  <c r="F15" i="11"/>
  <c r="E18" i="11"/>
  <c r="E15" i="11"/>
  <c r="F22" i="11"/>
  <c r="F13" i="11"/>
  <c r="G22" i="11"/>
  <c r="G13" i="11"/>
  <c r="H22" i="11"/>
  <c r="H13" i="11"/>
  <c r="I22" i="11"/>
  <c r="I13" i="11"/>
  <c r="E13" i="11"/>
  <c r="E17" i="11"/>
  <c r="I17" i="19"/>
  <c r="E17" i="19"/>
  <c r="O38" i="19"/>
  <c r="I16" i="19"/>
  <c r="E16" i="19"/>
  <c r="O37" i="19"/>
  <c r="I6" i="19"/>
  <c r="I15" i="19"/>
  <c r="E6" i="19"/>
  <c r="E15" i="19"/>
  <c r="O36" i="19"/>
  <c r="I14" i="19"/>
  <c r="E14" i="19"/>
  <c r="O35" i="19"/>
  <c r="I13" i="19"/>
  <c r="E13" i="19"/>
  <c r="O34" i="19"/>
  <c r="O33" i="19"/>
  <c r="O32" i="19"/>
  <c r="O31" i="19"/>
  <c r="O30" i="19"/>
  <c r="O29" i="19"/>
  <c r="O28" i="19"/>
  <c r="O27" i="19"/>
  <c r="F13" i="19"/>
  <c r="G13" i="19"/>
  <c r="H13" i="19"/>
  <c r="F14" i="19"/>
  <c r="G14" i="19"/>
  <c r="H14" i="19"/>
  <c r="F6" i="19"/>
  <c r="F15" i="19"/>
  <c r="G6" i="19"/>
  <c r="G15" i="19"/>
  <c r="H6" i="19"/>
  <c r="H15" i="19"/>
  <c r="F16" i="19"/>
  <c r="G16" i="19"/>
  <c r="H16" i="19"/>
  <c r="F17" i="19"/>
  <c r="G17" i="19"/>
  <c r="H17" i="19"/>
  <c r="G6" i="10"/>
  <c r="F6" i="10"/>
  <c r="Q4" i="10"/>
  <c r="R4" i="10"/>
  <c r="E6" i="10"/>
  <c r="O4" i="10"/>
  <c r="P4" i="10"/>
  <c r="D6" i="10"/>
  <c r="M4" i="10"/>
  <c r="N4" i="10"/>
  <c r="C6" i="10"/>
  <c r="K4" i="10"/>
  <c r="L4" i="10"/>
  <c r="M21" i="16"/>
  <c r="M22" i="16"/>
  <c r="M23" i="16"/>
  <c r="M24" i="16"/>
  <c r="M25" i="16"/>
  <c r="M26" i="16"/>
  <c r="M27" i="16"/>
  <c r="M28" i="16"/>
  <c r="M29" i="16"/>
  <c r="M30" i="16"/>
  <c r="M31" i="16"/>
  <c r="M32" i="16"/>
  <c r="M33" i="16"/>
  <c r="M34" i="16"/>
  <c r="M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20" i="16"/>
  <c r="M6" i="16"/>
  <c r="M7" i="16"/>
  <c r="M8" i="16"/>
  <c r="M9" i="16"/>
  <c r="M10" i="16"/>
  <c r="M11" i="16"/>
  <c r="M12" i="16"/>
  <c r="M13" i="16"/>
  <c r="M14" i="16"/>
  <c r="M5" i="16"/>
  <c r="K6" i="16"/>
  <c r="K7" i="16"/>
  <c r="K8" i="16"/>
  <c r="K9" i="16"/>
  <c r="K10" i="16"/>
  <c r="K11" i="16"/>
  <c r="K12" i="16"/>
  <c r="K13" i="16"/>
  <c r="K14" i="16"/>
  <c r="K5" i="16"/>
  <c r="I6" i="16"/>
  <c r="I7" i="16"/>
  <c r="I8" i="16"/>
  <c r="I9" i="16"/>
  <c r="I10" i="16"/>
  <c r="I11" i="16"/>
  <c r="I12" i="16"/>
  <c r="I13" i="16"/>
  <c r="I14" i="16"/>
  <c r="I5" i="16"/>
  <c r="G6" i="16"/>
  <c r="G7" i="16"/>
  <c r="G8" i="16"/>
  <c r="G9" i="16"/>
  <c r="G10" i="16"/>
  <c r="G11" i="16"/>
  <c r="G12" i="16"/>
  <c r="G13" i="16"/>
  <c r="G14" i="16"/>
  <c r="G5" i="16"/>
  <c r="E6" i="16"/>
  <c r="E7" i="16"/>
  <c r="E8" i="16"/>
  <c r="E9" i="16"/>
  <c r="E10" i="16"/>
  <c r="E11" i="16"/>
  <c r="E12" i="16"/>
  <c r="E13" i="16"/>
  <c r="E14" i="16"/>
  <c r="E5" i="16"/>
  <c r="AD5" i="22"/>
  <c r="AD6" i="22"/>
  <c r="AD7" i="22"/>
  <c r="AD8" i="22"/>
  <c r="AD9" i="22"/>
  <c r="AD4" i="22"/>
  <c r="AB5" i="22"/>
  <c r="AB6" i="22"/>
  <c r="AB7" i="22"/>
  <c r="AB8" i="22"/>
  <c r="AB9" i="22"/>
  <c r="AB4" i="22"/>
  <c r="Z5" i="22"/>
  <c r="Z6" i="22"/>
  <c r="Z7" i="22"/>
  <c r="Z8" i="22"/>
  <c r="Z9" i="22"/>
  <c r="Z4" i="22"/>
  <c r="X5" i="22"/>
  <c r="X6" i="22"/>
  <c r="X7" i="22"/>
  <c r="X8" i="22"/>
  <c r="X9" i="22"/>
  <c r="X4" i="22"/>
  <c r="V5" i="22"/>
  <c r="V6" i="22"/>
  <c r="V7" i="22"/>
  <c r="V8" i="22"/>
  <c r="V9" i="22"/>
  <c r="V4" i="22"/>
  <c r="C23" i="22"/>
  <c r="C7" i="22"/>
  <c r="D16" i="23"/>
  <c r="E16" i="23"/>
  <c r="F16" i="23"/>
  <c r="G16" i="23"/>
  <c r="C16" i="23"/>
  <c r="D13" i="23"/>
  <c r="E13" i="23"/>
  <c r="F13" i="23"/>
  <c r="G13" i="23"/>
  <c r="C13" i="23"/>
  <c r="D10" i="23"/>
  <c r="E10" i="23"/>
  <c r="F10" i="23"/>
  <c r="G10" i="23"/>
  <c r="C10" i="23"/>
  <c r="D7" i="23"/>
  <c r="E7" i="23"/>
  <c r="F7" i="23"/>
  <c r="G7" i="23"/>
  <c r="C7" i="23"/>
  <c r="D4" i="23"/>
  <c r="D19" i="23"/>
  <c r="E4" i="23"/>
  <c r="E19" i="23"/>
  <c r="F4" i="23"/>
  <c r="G4" i="23"/>
  <c r="C4" i="23"/>
  <c r="G27" i="22"/>
  <c r="D27" i="22"/>
  <c r="E27" i="22"/>
  <c r="F27" i="22"/>
  <c r="C27" i="22"/>
  <c r="E23" i="22"/>
  <c r="E11" i="22"/>
  <c r="E10" i="22"/>
  <c r="D23" i="22"/>
  <c r="D11" i="22"/>
  <c r="D10" i="22"/>
  <c r="F23" i="22"/>
  <c r="F11" i="22"/>
  <c r="F10" i="22"/>
  <c r="G23" i="22"/>
  <c r="G11" i="22"/>
  <c r="G10" i="22"/>
  <c r="C11" i="22"/>
  <c r="C10" i="22"/>
  <c r="D13" i="22"/>
  <c r="E13" i="22"/>
  <c r="F13" i="22"/>
  <c r="G13" i="22"/>
  <c r="C13" i="22"/>
  <c r="F19" i="23"/>
  <c r="C19" i="23"/>
  <c r="G19" i="23"/>
  <c r="D16" i="22"/>
  <c r="E16" i="22"/>
  <c r="F16" i="22"/>
  <c r="G16" i="22"/>
  <c r="C16" i="22"/>
  <c r="D7" i="22"/>
  <c r="E7" i="22"/>
  <c r="F7" i="22"/>
  <c r="G7" i="22"/>
  <c r="G4" i="22"/>
  <c r="F4" i="22"/>
  <c r="E4" i="22"/>
  <c r="D4" i="22"/>
  <c r="C4" i="22"/>
  <c r="G19" i="22"/>
  <c r="C19" i="22"/>
  <c r="D19" i="22"/>
  <c r="E19" i="22"/>
  <c r="F19" i="22"/>
  <c r="F15" i="20"/>
  <c r="E15" i="20"/>
  <c r="S56" i="10"/>
  <c r="T53" i="10"/>
  <c r="Q56" i="10"/>
  <c r="R54" i="10"/>
  <c r="O56" i="10"/>
  <c r="P53" i="10"/>
  <c r="M56" i="10"/>
  <c r="N54" i="10"/>
  <c r="K56" i="10"/>
  <c r="L55" i="10"/>
  <c r="C14" i="10"/>
  <c r="L9" i="10"/>
  <c r="N9" i="10"/>
  <c r="P9" i="10"/>
  <c r="R9" i="10"/>
  <c r="T9" i="10"/>
  <c r="L10" i="10"/>
  <c r="N10" i="10"/>
  <c r="P10" i="10"/>
  <c r="R10" i="10"/>
  <c r="T10" i="10"/>
  <c r="L11" i="10"/>
  <c r="N11" i="10"/>
  <c r="P11" i="10"/>
  <c r="R11" i="10"/>
  <c r="T11" i="10"/>
  <c r="L12" i="10"/>
  <c r="N12" i="10"/>
  <c r="P12" i="10"/>
  <c r="R12" i="10"/>
  <c r="T12" i="10"/>
  <c r="L13" i="10"/>
  <c r="N13" i="10"/>
  <c r="P13" i="10"/>
  <c r="R13" i="10"/>
  <c r="T13" i="10"/>
  <c r="N52" i="10"/>
  <c r="N55" i="10"/>
  <c r="N53" i="10"/>
  <c r="P56" i="10"/>
  <c r="P54" i="10"/>
  <c r="R52" i="10"/>
  <c r="R55" i="10"/>
  <c r="R53" i="10"/>
  <c r="T56" i="10"/>
  <c r="T54" i="10"/>
  <c r="L52" i="10"/>
  <c r="L54" i="10"/>
  <c r="E61" i="10"/>
  <c r="L56" i="10"/>
  <c r="N56" i="10"/>
  <c r="P52" i="10"/>
  <c r="P55" i="10"/>
  <c r="R56" i="10"/>
  <c r="T52" i="10"/>
  <c r="T55" i="10"/>
  <c r="L53" i="10"/>
  <c r="O63" i="14"/>
  <c r="D51" i="14"/>
  <c r="E51" i="14"/>
  <c r="L51" i="14"/>
  <c r="M43" i="14"/>
  <c r="J51" i="14"/>
  <c r="K43" i="14"/>
  <c r="H51" i="14"/>
  <c r="I43" i="14"/>
  <c r="F51" i="14"/>
  <c r="G43" i="14"/>
  <c r="E43" i="14"/>
  <c r="M45" i="16"/>
  <c r="M44" i="16"/>
  <c r="M41" i="16"/>
  <c r="Q4" i="16"/>
  <c r="M43" i="16"/>
  <c r="M42" i="16"/>
  <c r="F57" i="14"/>
  <c r="G55" i="14"/>
  <c r="H57" i="14"/>
  <c r="I55" i="14"/>
  <c r="J57" i="14"/>
  <c r="K55" i="14"/>
  <c r="L57" i="14"/>
  <c r="M55" i="14"/>
  <c r="D57" i="14"/>
  <c r="E55" i="14"/>
  <c r="D29" i="14"/>
  <c r="L29" i="14"/>
  <c r="O62" i="14"/>
  <c r="J29" i="14"/>
  <c r="H29" i="14"/>
  <c r="F29" i="14"/>
  <c r="E54" i="14"/>
  <c r="E56" i="14"/>
  <c r="G54" i="14"/>
  <c r="G56" i="14"/>
  <c r="I54" i="14"/>
  <c r="I56" i="14"/>
  <c r="K54" i="14"/>
  <c r="K56" i="14"/>
  <c r="M54" i="14"/>
  <c r="M56" i="14"/>
  <c r="E57" i="14"/>
  <c r="G57" i="14"/>
  <c r="I57" i="14"/>
  <c r="K57" i="14"/>
  <c r="M57" i="14"/>
  <c r="G27" i="14"/>
  <c r="G26" i="14"/>
  <c r="K27" i="14"/>
  <c r="K26" i="14"/>
  <c r="E28" i="14"/>
  <c r="E26" i="14"/>
  <c r="E27" i="14"/>
  <c r="K28" i="14"/>
  <c r="I28" i="14"/>
  <c r="I26" i="14"/>
  <c r="M28" i="14"/>
  <c r="M26" i="14"/>
  <c r="E29" i="14"/>
  <c r="G28" i="14"/>
  <c r="I29" i="14"/>
  <c r="I27" i="14"/>
  <c r="M27" i="14"/>
  <c r="M29" i="14"/>
  <c r="G29" i="14"/>
  <c r="K29" i="14"/>
  <c r="G15" i="20"/>
  <c r="H15" i="20"/>
  <c r="I15" i="20"/>
  <c r="G9" i="20"/>
  <c r="G20" i="20"/>
  <c r="H9" i="20"/>
  <c r="H20" i="20"/>
  <c r="I9" i="20"/>
  <c r="I20" i="20"/>
  <c r="F9" i="20"/>
  <c r="F20" i="20"/>
  <c r="G7" i="20"/>
  <c r="G18" i="20"/>
  <c r="H7" i="20"/>
  <c r="H18" i="20"/>
  <c r="I7" i="20"/>
  <c r="I18" i="20"/>
  <c r="F7" i="20"/>
  <c r="F18" i="20"/>
  <c r="I5" i="20"/>
  <c r="I16" i="20"/>
  <c r="H5" i="20"/>
  <c r="H16" i="20"/>
  <c r="G5" i="20"/>
  <c r="G16" i="20"/>
  <c r="F5" i="20"/>
  <c r="F10" i="20"/>
  <c r="E10" i="20"/>
  <c r="F11" i="20"/>
  <c r="F22" i="20"/>
  <c r="G10" i="20"/>
  <c r="G11" i="20"/>
  <c r="G22" i="20"/>
  <c r="H10" i="20"/>
  <c r="H11" i="20"/>
  <c r="H22" i="20"/>
  <c r="I10" i="20"/>
  <c r="I11" i="20"/>
  <c r="I22" i="20"/>
  <c r="D30" i="6"/>
  <c r="M36" i="14"/>
  <c r="K37" i="14"/>
  <c r="I36" i="14"/>
  <c r="G37" i="14"/>
  <c r="M37" i="14"/>
  <c r="M39" i="14"/>
  <c r="M41" i="14"/>
  <c r="M42" i="14"/>
  <c r="M44" i="14"/>
  <c r="M45" i="14"/>
  <c r="M46" i="14"/>
  <c r="M47" i="14"/>
  <c r="M48" i="14"/>
  <c r="M49" i="14"/>
  <c r="M50" i="14"/>
  <c r="M51" i="14"/>
  <c r="M35" i="14"/>
  <c r="K36" i="14"/>
  <c r="K38" i="14"/>
  <c r="K40" i="14"/>
  <c r="K42" i="14"/>
  <c r="K45" i="14"/>
  <c r="K47" i="14"/>
  <c r="K48" i="14"/>
  <c r="K49" i="14"/>
  <c r="K50" i="14"/>
  <c r="K51" i="14"/>
  <c r="K35" i="14"/>
  <c r="I37" i="14"/>
  <c r="I39" i="14"/>
  <c r="I40" i="14"/>
  <c r="I41" i="14"/>
  <c r="I42" i="14"/>
  <c r="I44" i="14"/>
  <c r="I45" i="14"/>
  <c r="I46" i="14"/>
  <c r="I47" i="14"/>
  <c r="I48" i="14"/>
  <c r="I49" i="14"/>
  <c r="I50" i="14"/>
  <c r="I51" i="14"/>
  <c r="I35" i="14"/>
  <c r="G36" i="14"/>
  <c r="G38" i="14"/>
  <c r="G39" i="14"/>
  <c r="G40" i="14"/>
  <c r="G41" i="14"/>
  <c r="G42" i="14"/>
  <c r="G44" i="14"/>
  <c r="G45" i="14"/>
  <c r="G46" i="14"/>
  <c r="G47" i="14"/>
  <c r="G48" i="14"/>
  <c r="G49" i="14"/>
  <c r="G50" i="14"/>
  <c r="G51" i="14"/>
  <c r="G35" i="14"/>
  <c r="E36" i="14"/>
  <c r="E37" i="14"/>
  <c r="E38" i="14"/>
  <c r="E39" i="14"/>
  <c r="E40" i="14"/>
  <c r="E41" i="14"/>
  <c r="E42" i="14"/>
  <c r="E44" i="14"/>
  <c r="E45" i="14"/>
  <c r="E46" i="14"/>
  <c r="E47" i="14"/>
  <c r="E48" i="14"/>
  <c r="E49" i="14"/>
  <c r="E50" i="14"/>
  <c r="E35" i="14"/>
  <c r="D20" i="14"/>
  <c r="L20" i="14"/>
  <c r="M7" i="14"/>
  <c r="J20" i="14"/>
  <c r="K7" i="14"/>
  <c r="H20" i="14"/>
  <c r="I6" i="14"/>
  <c r="F20" i="14"/>
  <c r="G6" i="14"/>
  <c r="Q10" i="16"/>
  <c r="Q9" i="16"/>
  <c r="Q8" i="16"/>
  <c r="Q7" i="16"/>
  <c r="Q6" i="16"/>
  <c r="Q5" i="16"/>
  <c r="P128" i="15"/>
  <c r="O128" i="15"/>
  <c r="M128" i="15"/>
  <c r="L128" i="15"/>
  <c r="J128" i="15"/>
  <c r="I128" i="15"/>
  <c r="G128" i="15"/>
  <c r="F128" i="15"/>
  <c r="P127" i="15"/>
  <c r="O127" i="15"/>
  <c r="M127" i="15"/>
  <c r="L127" i="15"/>
  <c r="J127" i="15"/>
  <c r="I127" i="15"/>
  <c r="G127" i="15"/>
  <c r="F127" i="15"/>
  <c r="N126" i="15"/>
  <c r="K126" i="15"/>
  <c r="O126" i="15"/>
  <c r="H126" i="15"/>
  <c r="E126" i="15"/>
  <c r="I126" i="15"/>
  <c r="D126" i="15"/>
  <c r="F126" i="15"/>
  <c r="O125" i="15"/>
  <c r="L125" i="15"/>
  <c r="I125" i="15"/>
  <c r="F125" i="15"/>
  <c r="P124" i="15"/>
  <c r="O124" i="15"/>
  <c r="M124" i="15"/>
  <c r="L124" i="15"/>
  <c r="J124" i="15"/>
  <c r="I124" i="15"/>
  <c r="G124" i="15"/>
  <c r="F124" i="15"/>
  <c r="P123" i="15"/>
  <c r="O123" i="15"/>
  <c r="M123" i="15"/>
  <c r="L123" i="15"/>
  <c r="J123" i="15"/>
  <c r="I123" i="15"/>
  <c r="G123" i="15"/>
  <c r="F123" i="15"/>
  <c r="N122" i="15"/>
  <c r="K122" i="15"/>
  <c r="P122" i="15"/>
  <c r="H122" i="15"/>
  <c r="L122" i="15"/>
  <c r="E122" i="15"/>
  <c r="D122" i="15"/>
  <c r="F122" i="15"/>
  <c r="P121" i="15"/>
  <c r="O121" i="15"/>
  <c r="M121" i="15"/>
  <c r="L121" i="15"/>
  <c r="J121" i="15"/>
  <c r="I121" i="15"/>
  <c r="G121" i="15"/>
  <c r="F121" i="15"/>
  <c r="P120" i="15"/>
  <c r="O120" i="15"/>
  <c r="M120" i="15"/>
  <c r="L120" i="15"/>
  <c r="J120" i="15"/>
  <c r="I120" i="15"/>
  <c r="G120" i="15"/>
  <c r="F120" i="15"/>
  <c r="O119" i="15"/>
  <c r="L119" i="15"/>
  <c r="I119" i="15"/>
  <c r="F119" i="15"/>
  <c r="P118" i="15"/>
  <c r="O118" i="15"/>
  <c r="M118" i="15"/>
  <c r="L118" i="15"/>
  <c r="J118" i="15"/>
  <c r="I118" i="15"/>
  <c r="G118" i="15"/>
  <c r="F118" i="15"/>
  <c r="P117" i="15"/>
  <c r="O117" i="15"/>
  <c r="M117" i="15"/>
  <c r="L117" i="15"/>
  <c r="J117" i="15"/>
  <c r="I117" i="15"/>
  <c r="G117" i="15"/>
  <c r="F117" i="15"/>
  <c r="P116" i="15"/>
  <c r="O116" i="15"/>
  <c r="M116" i="15"/>
  <c r="L116" i="15"/>
  <c r="J116" i="15"/>
  <c r="I116" i="15"/>
  <c r="G116" i="15"/>
  <c r="F116" i="15"/>
  <c r="P115" i="15"/>
  <c r="O115" i="15"/>
  <c r="M115" i="15"/>
  <c r="L115" i="15"/>
  <c r="J115" i="15"/>
  <c r="I115" i="15"/>
  <c r="G115" i="15"/>
  <c r="F115" i="15"/>
  <c r="O114" i="15"/>
  <c r="L114" i="15"/>
  <c r="I114" i="15"/>
  <c r="F114" i="15"/>
  <c r="O113" i="15"/>
  <c r="L113" i="15"/>
  <c r="I113" i="15"/>
  <c r="F113" i="15"/>
  <c r="O112" i="15"/>
  <c r="L112" i="15"/>
  <c r="I112" i="15"/>
  <c r="F112" i="15"/>
  <c r="P111" i="15"/>
  <c r="O111" i="15"/>
  <c r="M111" i="15"/>
  <c r="L111" i="15"/>
  <c r="J111" i="15"/>
  <c r="I111" i="15"/>
  <c r="G111" i="15"/>
  <c r="F111" i="15"/>
  <c r="N110" i="15"/>
  <c r="K110" i="15"/>
  <c r="O110" i="15"/>
  <c r="H110" i="15"/>
  <c r="E110" i="15"/>
  <c r="I110" i="15"/>
  <c r="D110" i="15"/>
  <c r="F110" i="15"/>
  <c r="N109" i="15"/>
  <c r="K109" i="15"/>
  <c r="H109" i="15"/>
  <c r="L109" i="15"/>
  <c r="E109" i="15"/>
  <c r="F109" i="15"/>
  <c r="O108" i="15"/>
  <c r="L108" i="15"/>
  <c r="I108" i="15"/>
  <c r="F108" i="15"/>
  <c r="O107" i="15"/>
  <c r="L107" i="15"/>
  <c r="I107" i="15"/>
  <c r="F107" i="15"/>
  <c r="O106" i="15"/>
  <c r="L106" i="15"/>
  <c r="I106" i="15"/>
  <c r="F106" i="15"/>
  <c r="O105" i="15"/>
  <c r="L105" i="15"/>
  <c r="I105" i="15"/>
  <c r="F105" i="15"/>
  <c r="O104" i="15"/>
  <c r="L104" i="15"/>
  <c r="I104" i="15"/>
  <c r="F104" i="15"/>
  <c r="O103" i="15"/>
  <c r="L103" i="15"/>
  <c r="I103" i="15"/>
  <c r="F103" i="15"/>
  <c r="O102" i="15"/>
  <c r="L102" i="15"/>
  <c r="I102" i="15"/>
  <c r="F102" i="15"/>
  <c r="O101" i="15"/>
  <c r="L101" i="15"/>
  <c r="I101" i="15"/>
  <c r="F101" i="15"/>
  <c r="O100" i="15"/>
  <c r="L100" i="15"/>
  <c r="I100" i="15"/>
  <c r="F100" i="15"/>
  <c r="N99" i="15"/>
  <c r="K99" i="15"/>
  <c r="P99" i="15"/>
  <c r="H99" i="15"/>
  <c r="L99" i="15"/>
  <c r="E99" i="15"/>
  <c r="D99" i="15"/>
  <c r="F99" i="15"/>
  <c r="O98" i="15"/>
  <c r="L98" i="15"/>
  <c r="I98" i="15"/>
  <c r="F98" i="15"/>
  <c r="O97" i="15"/>
  <c r="L97" i="15"/>
  <c r="I97" i="15"/>
  <c r="F97" i="15"/>
  <c r="O96" i="15"/>
  <c r="L96" i="15"/>
  <c r="I96" i="15"/>
  <c r="F96" i="15"/>
  <c r="P95" i="15"/>
  <c r="O95" i="15"/>
  <c r="M95" i="15"/>
  <c r="L95" i="15"/>
  <c r="J95" i="15"/>
  <c r="I95" i="15"/>
  <c r="G95" i="15"/>
  <c r="F95" i="15"/>
  <c r="N94" i="15"/>
  <c r="K94" i="15"/>
  <c r="H94" i="15"/>
  <c r="M94" i="15"/>
  <c r="E94" i="15"/>
  <c r="D94" i="15"/>
  <c r="G94" i="15"/>
  <c r="D93" i="15"/>
  <c r="K93" i="15"/>
  <c r="P92" i="15"/>
  <c r="O92" i="15"/>
  <c r="M92" i="15"/>
  <c r="L92" i="15"/>
  <c r="J92" i="15"/>
  <c r="I92" i="15"/>
  <c r="G92" i="15"/>
  <c r="F92" i="15"/>
  <c r="O91" i="15"/>
  <c r="L91" i="15"/>
  <c r="I91" i="15"/>
  <c r="F91" i="15"/>
  <c r="P90" i="15"/>
  <c r="O90" i="15"/>
  <c r="M90" i="15"/>
  <c r="L90" i="15"/>
  <c r="J90" i="15"/>
  <c r="I90" i="15"/>
  <c r="G90" i="15"/>
  <c r="F90" i="15"/>
  <c r="N89" i="15"/>
  <c r="K89" i="15"/>
  <c r="O89" i="15"/>
  <c r="H89" i="15"/>
  <c r="E89" i="15"/>
  <c r="I89" i="15"/>
  <c r="D89" i="15"/>
  <c r="F89" i="15"/>
  <c r="P88" i="15"/>
  <c r="O88" i="15"/>
  <c r="M88" i="15"/>
  <c r="L88" i="15"/>
  <c r="J88" i="15"/>
  <c r="I88" i="15"/>
  <c r="G88" i="15"/>
  <c r="F88" i="15"/>
  <c r="P87" i="15"/>
  <c r="O87" i="15"/>
  <c r="M87" i="15"/>
  <c r="L87" i="15"/>
  <c r="J87" i="15"/>
  <c r="I87" i="15"/>
  <c r="G87" i="15"/>
  <c r="F87" i="15"/>
  <c r="N86" i="15"/>
  <c r="K86" i="15"/>
  <c r="H86" i="15"/>
  <c r="L86" i="15"/>
  <c r="E86" i="15"/>
  <c r="D86" i="15"/>
  <c r="F86" i="15"/>
  <c r="O85" i="15"/>
  <c r="L85" i="15"/>
  <c r="I85" i="15"/>
  <c r="F85" i="15"/>
  <c r="O84" i="15"/>
  <c r="L84" i="15"/>
  <c r="I84" i="15"/>
  <c r="F84" i="15"/>
  <c r="O83" i="15"/>
  <c r="L83" i="15"/>
  <c r="I83" i="15"/>
  <c r="F83" i="15"/>
  <c r="O82" i="15"/>
  <c r="L82" i="15"/>
  <c r="I82" i="15"/>
  <c r="F82" i="15"/>
  <c r="N81" i="15"/>
  <c r="K81" i="15"/>
  <c r="O81" i="15"/>
  <c r="H81" i="15"/>
  <c r="E81" i="15"/>
  <c r="I81" i="15"/>
  <c r="D81" i="15"/>
  <c r="F81" i="15"/>
  <c r="O80" i="15"/>
  <c r="L80" i="15"/>
  <c r="I80" i="15"/>
  <c r="F80" i="15"/>
  <c r="O79" i="15"/>
  <c r="L79" i="15"/>
  <c r="I79" i="15"/>
  <c r="F79" i="15"/>
  <c r="P78" i="15"/>
  <c r="O78" i="15"/>
  <c r="M78" i="15"/>
  <c r="L78" i="15"/>
  <c r="J78" i="15"/>
  <c r="I78" i="15"/>
  <c r="G78" i="15"/>
  <c r="F78" i="15"/>
  <c r="N77" i="15"/>
  <c r="K77" i="15"/>
  <c r="H77" i="15"/>
  <c r="L77" i="15"/>
  <c r="E77" i="15"/>
  <c r="D77" i="15"/>
  <c r="F77" i="15"/>
  <c r="N76" i="15"/>
  <c r="D76" i="15"/>
  <c r="D75" i="15"/>
  <c r="P70" i="15"/>
  <c r="O70" i="15"/>
  <c r="M70" i="15"/>
  <c r="L70" i="15"/>
  <c r="J70" i="15"/>
  <c r="I70" i="15"/>
  <c r="G70" i="15"/>
  <c r="F70" i="15"/>
  <c r="O69" i="15"/>
  <c r="L69" i="15"/>
  <c r="I69" i="15"/>
  <c r="F69" i="15"/>
  <c r="P68" i="15"/>
  <c r="O68" i="15"/>
  <c r="M68" i="15"/>
  <c r="L68" i="15"/>
  <c r="J68" i="15"/>
  <c r="I68" i="15"/>
  <c r="G68" i="15"/>
  <c r="F68" i="15"/>
  <c r="N67" i="15"/>
  <c r="K67" i="15"/>
  <c r="H67" i="15"/>
  <c r="M67" i="15"/>
  <c r="E67" i="15"/>
  <c r="D67" i="15"/>
  <c r="G67" i="15"/>
  <c r="O66" i="15"/>
  <c r="L66" i="15"/>
  <c r="I66" i="15"/>
  <c r="F66" i="15"/>
  <c r="O65" i="15"/>
  <c r="L65" i="15"/>
  <c r="I65" i="15"/>
  <c r="F65" i="15"/>
  <c r="P64" i="15"/>
  <c r="O64" i="15"/>
  <c r="M64" i="15"/>
  <c r="L64" i="15"/>
  <c r="J64" i="15"/>
  <c r="I64" i="15"/>
  <c r="G64" i="15"/>
  <c r="F64" i="15"/>
  <c r="P63" i="15"/>
  <c r="O63" i="15"/>
  <c r="M63" i="15"/>
  <c r="L63" i="15"/>
  <c r="J63" i="15"/>
  <c r="I63" i="15"/>
  <c r="G63" i="15"/>
  <c r="F63" i="15"/>
  <c r="N62" i="15"/>
  <c r="K62" i="15"/>
  <c r="P62" i="15"/>
  <c r="H62" i="15"/>
  <c r="E62" i="15"/>
  <c r="J62" i="15"/>
  <c r="D62" i="15"/>
  <c r="P61" i="15"/>
  <c r="O61" i="15"/>
  <c r="M61" i="15"/>
  <c r="L61" i="15"/>
  <c r="J61" i="15"/>
  <c r="I61" i="15"/>
  <c r="G61" i="15"/>
  <c r="F61" i="15"/>
  <c r="P60" i="15"/>
  <c r="O60" i="15"/>
  <c r="M60" i="15"/>
  <c r="L60" i="15"/>
  <c r="J60" i="15"/>
  <c r="I60" i="15"/>
  <c r="G60" i="15"/>
  <c r="F60" i="15"/>
  <c r="P59" i="15"/>
  <c r="O59" i="15"/>
  <c r="M59" i="15"/>
  <c r="L59" i="15"/>
  <c r="J59" i="15"/>
  <c r="I59" i="15"/>
  <c r="G59" i="15"/>
  <c r="F59" i="15"/>
  <c r="P58" i="15"/>
  <c r="O58" i="15"/>
  <c r="M58" i="15"/>
  <c r="L58" i="15"/>
  <c r="J58" i="15"/>
  <c r="I58" i="15"/>
  <c r="G58" i="15"/>
  <c r="F58" i="15"/>
  <c r="O57" i="15"/>
  <c r="L57" i="15"/>
  <c r="I57" i="15"/>
  <c r="F57" i="15"/>
  <c r="O56" i="15"/>
  <c r="L56" i="15"/>
  <c r="I56" i="15"/>
  <c r="F56" i="15"/>
  <c r="O55" i="15"/>
  <c r="L55" i="15"/>
  <c r="I55" i="15"/>
  <c r="F55" i="15"/>
  <c r="O54" i="15"/>
  <c r="L54" i="15"/>
  <c r="I54" i="15"/>
  <c r="F54" i="15"/>
  <c r="P53" i="15"/>
  <c r="O53" i="15"/>
  <c r="M53" i="15"/>
  <c r="L53" i="15"/>
  <c r="J53" i="15"/>
  <c r="I53" i="15"/>
  <c r="G53" i="15"/>
  <c r="F53" i="15"/>
  <c r="N52" i="15"/>
  <c r="K52" i="15"/>
  <c r="O52" i="15"/>
  <c r="H52" i="15"/>
  <c r="E52" i="15"/>
  <c r="I52" i="15"/>
  <c r="D52" i="15"/>
  <c r="F52" i="15"/>
  <c r="O51" i="15"/>
  <c r="L51" i="15"/>
  <c r="I51" i="15"/>
  <c r="F51" i="15"/>
  <c r="O50" i="15"/>
  <c r="L50" i="15"/>
  <c r="I50" i="15"/>
  <c r="F50" i="15"/>
  <c r="O49" i="15"/>
  <c r="L49" i="15"/>
  <c r="I49" i="15"/>
  <c r="F49" i="15"/>
  <c r="O48" i="15"/>
  <c r="L48" i="15"/>
  <c r="I48" i="15"/>
  <c r="F48" i="15"/>
  <c r="O47" i="15"/>
  <c r="L47" i="15"/>
  <c r="I47" i="15"/>
  <c r="F47" i="15"/>
  <c r="O46" i="15"/>
  <c r="L46" i="15"/>
  <c r="I46" i="15"/>
  <c r="F46" i="15"/>
  <c r="O45" i="15"/>
  <c r="L45" i="15"/>
  <c r="I45" i="15"/>
  <c r="F45" i="15"/>
  <c r="P44" i="15"/>
  <c r="O44" i="15"/>
  <c r="M44" i="15"/>
  <c r="L44" i="15"/>
  <c r="J44" i="15"/>
  <c r="I44" i="15"/>
  <c r="G44" i="15"/>
  <c r="F44" i="15"/>
  <c r="N43" i="15"/>
  <c r="K43" i="15"/>
  <c r="P43" i="15"/>
  <c r="H43" i="15"/>
  <c r="E43" i="15"/>
  <c r="J43" i="15"/>
  <c r="D43" i="15"/>
  <c r="O42" i="15"/>
  <c r="M42" i="15"/>
  <c r="L42" i="15"/>
  <c r="I42" i="15"/>
  <c r="F42" i="15"/>
  <c r="P41" i="15"/>
  <c r="O41" i="15"/>
  <c r="M41" i="15"/>
  <c r="L41" i="15"/>
  <c r="J41" i="15"/>
  <c r="I41" i="15"/>
  <c r="G41" i="15"/>
  <c r="F41" i="15"/>
  <c r="O40" i="15"/>
  <c r="L40" i="15"/>
  <c r="I40" i="15"/>
  <c r="F40" i="15"/>
  <c r="P39" i="15"/>
  <c r="O39" i="15"/>
  <c r="M39" i="15"/>
  <c r="L39" i="15"/>
  <c r="J39" i="15"/>
  <c r="I39" i="15"/>
  <c r="G39" i="15"/>
  <c r="F39" i="15"/>
  <c r="P38" i="15"/>
  <c r="O38" i="15"/>
  <c r="M38" i="15"/>
  <c r="L38" i="15"/>
  <c r="J38" i="15"/>
  <c r="I38" i="15"/>
  <c r="G38" i="15"/>
  <c r="F38" i="15"/>
  <c r="P37" i="15"/>
  <c r="O37" i="15"/>
  <c r="M37" i="15"/>
  <c r="L37" i="15"/>
  <c r="J37" i="15"/>
  <c r="I37" i="15"/>
  <c r="G37" i="15"/>
  <c r="F37" i="15"/>
  <c r="N36" i="15"/>
  <c r="K36" i="15"/>
  <c r="H36" i="15"/>
  <c r="M36" i="15"/>
  <c r="E36" i="15"/>
  <c r="D36" i="15"/>
  <c r="G36" i="15"/>
  <c r="D35" i="15"/>
  <c r="K35" i="15"/>
  <c r="O34" i="15"/>
  <c r="L34" i="15"/>
  <c r="I34" i="15"/>
  <c r="F34" i="15"/>
  <c r="O33" i="15"/>
  <c r="L33" i="15"/>
  <c r="I33" i="15"/>
  <c r="F33" i="15"/>
  <c r="O32" i="15"/>
  <c r="L32" i="15"/>
  <c r="I32" i="15"/>
  <c r="F32" i="15"/>
  <c r="O31" i="15"/>
  <c r="L31" i="15"/>
  <c r="I31" i="15"/>
  <c r="F31" i="15"/>
  <c r="O30" i="15"/>
  <c r="L30" i="15"/>
  <c r="I30" i="15"/>
  <c r="F30" i="15"/>
  <c r="O29" i="15"/>
  <c r="L29" i="15"/>
  <c r="I29" i="15"/>
  <c r="F29" i="15"/>
  <c r="O28" i="15"/>
  <c r="L28" i="15"/>
  <c r="I28" i="15"/>
  <c r="F28" i="15"/>
  <c r="N27" i="15"/>
  <c r="K27" i="15"/>
  <c r="O27" i="15"/>
  <c r="H27" i="15"/>
  <c r="E27" i="15"/>
  <c r="I27" i="15"/>
  <c r="D27" i="15"/>
  <c r="F27" i="15"/>
  <c r="P26" i="15"/>
  <c r="O26" i="15"/>
  <c r="M26" i="15"/>
  <c r="L26" i="15"/>
  <c r="J26" i="15"/>
  <c r="I26" i="15"/>
  <c r="G26" i="15"/>
  <c r="F26" i="15"/>
  <c r="P25" i="15"/>
  <c r="O25" i="15"/>
  <c r="M25" i="15"/>
  <c r="L25" i="15"/>
  <c r="J25" i="15"/>
  <c r="I25" i="15"/>
  <c r="G25" i="15"/>
  <c r="F25" i="15"/>
  <c r="P24" i="15"/>
  <c r="O24" i="15"/>
  <c r="M24" i="15"/>
  <c r="L24" i="15"/>
  <c r="J24" i="15"/>
  <c r="I24" i="15"/>
  <c r="G24" i="15"/>
  <c r="F24" i="15"/>
  <c r="O23" i="15"/>
  <c r="L23" i="15"/>
  <c r="I23" i="15"/>
  <c r="F23" i="15"/>
  <c r="O22" i="15"/>
  <c r="L22" i="15"/>
  <c r="I22" i="15"/>
  <c r="F22" i="15"/>
  <c r="O21" i="15"/>
  <c r="L21" i="15"/>
  <c r="I21" i="15"/>
  <c r="F21" i="15"/>
  <c r="P20" i="15"/>
  <c r="O20" i="15"/>
  <c r="M20" i="15"/>
  <c r="L20" i="15"/>
  <c r="J20" i="15"/>
  <c r="I20" i="15"/>
  <c r="G20" i="15"/>
  <c r="F20" i="15"/>
  <c r="P19" i="15"/>
  <c r="O19" i="15"/>
  <c r="M19" i="15"/>
  <c r="L19" i="15"/>
  <c r="J19" i="15"/>
  <c r="I19" i="15"/>
  <c r="G19" i="15"/>
  <c r="F19" i="15"/>
  <c r="P18" i="15"/>
  <c r="O18" i="15"/>
  <c r="M18" i="15"/>
  <c r="L18" i="15"/>
  <c r="J18" i="15"/>
  <c r="I18" i="15"/>
  <c r="G18" i="15"/>
  <c r="F18" i="15"/>
  <c r="N17" i="15"/>
  <c r="K17" i="15"/>
  <c r="H17" i="15"/>
  <c r="L17" i="15"/>
  <c r="E17" i="15"/>
  <c r="D17" i="15"/>
  <c r="F17" i="15"/>
  <c r="O16" i="15"/>
  <c r="L16" i="15"/>
  <c r="I16" i="15"/>
  <c r="F16" i="15"/>
  <c r="P15" i="15"/>
  <c r="O15" i="15"/>
  <c r="M15" i="15"/>
  <c r="L15" i="15"/>
  <c r="J15" i="15"/>
  <c r="I15" i="15"/>
  <c r="G15" i="15"/>
  <c r="F15" i="15"/>
  <c r="O14" i="15"/>
  <c r="L14" i="15"/>
  <c r="I14" i="15"/>
  <c r="F14" i="15"/>
  <c r="O13" i="15"/>
  <c r="L13" i="15"/>
  <c r="I13" i="15"/>
  <c r="F13" i="15"/>
  <c r="O12" i="15"/>
  <c r="L12" i="15"/>
  <c r="I12" i="15"/>
  <c r="F12" i="15"/>
  <c r="P11" i="15"/>
  <c r="O11" i="15"/>
  <c r="M11" i="15"/>
  <c r="L11" i="15"/>
  <c r="J11" i="15"/>
  <c r="I11" i="15"/>
  <c r="G11" i="15"/>
  <c r="F11" i="15"/>
  <c r="O10" i="15"/>
  <c r="L10" i="15"/>
  <c r="I10" i="15"/>
  <c r="F10" i="15"/>
  <c r="O9" i="15"/>
  <c r="L9" i="15"/>
  <c r="I9" i="15"/>
  <c r="F9" i="15"/>
  <c r="N8" i="15"/>
  <c r="K8" i="15"/>
  <c r="O8" i="15"/>
  <c r="H8" i="15"/>
  <c r="E8" i="15"/>
  <c r="I8" i="15"/>
  <c r="D8" i="15"/>
  <c r="D7" i="15"/>
  <c r="D5" i="15"/>
  <c r="K7" i="15"/>
  <c r="E7" i="15"/>
  <c r="F7" i="15"/>
  <c r="O6" i="15"/>
  <c r="L6" i="15"/>
  <c r="I6" i="15"/>
  <c r="F6" i="15"/>
  <c r="O63" i="13"/>
  <c r="L63" i="13"/>
  <c r="I63" i="13"/>
  <c r="F63" i="13"/>
  <c r="N62" i="13"/>
  <c r="K62" i="13"/>
  <c r="H62" i="13"/>
  <c r="E62" i="13"/>
  <c r="D62" i="13"/>
  <c r="O61" i="13"/>
  <c r="L61" i="13"/>
  <c r="I61" i="13"/>
  <c r="F61" i="13"/>
  <c r="O60" i="13"/>
  <c r="L60" i="13"/>
  <c r="I60" i="13"/>
  <c r="F60" i="13"/>
  <c r="O59" i="13"/>
  <c r="L59" i="13"/>
  <c r="I59" i="13"/>
  <c r="F59" i="13"/>
  <c r="O58" i="13"/>
  <c r="L58" i="13"/>
  <c r="I58" i="13"/>
  <c r="F58" i="13"/>
  <c r="O57" i="13"/>
  <c r="L57" i="13"/>
  <c r="I57" i="13"/>
  <c r="F57" i="13"/>
  <c r="P55" i="13"/>
  <c r="O55" i="13"/>
  <c r="M55" i="13"/>
  <c r="L55" i="13"/>
  <c r="J55" i="13"/>
  <c r="I55" i="13"/>
  <c r="G55" i="13"/>
  <c r="F55" i="13"/>
  <c r="P54" i="13"/>
  <c r="O54" i="13"/>
  <c r="M54" i="13"/>
  <c r="L54" i="13"/>
  <c r="J54" i="13"/>
  <c r="I54" i="13"/>
  <c r="G54" i="13"/>
  <c r="F54" i="13"/>
  <c r="N53" i="13"/>
  <c r="K53" i="13"/>
  <c r="O53" i="13"/>
  <c r="H53" i="13"/>
  <c r="E53" i="13"/>
  <c r="J53" i="13"/>
  <c r="D53" i="13"/>
  <c r="O51" i="13"/>
  <c r="L51" i="13"/>
  <c r="I51" i="13"/>
  <c r="F51" i="13"/>
  <c r="O50" i="13"/>
  <c r="L50" i="13"/>
  <c r="I50" i="13"/>
  <c r="F50" i="13"/>
  <c r="P49" i="13"/>
  <c r="O49" i="13"/>
  <c r="M49" i="13"/>
  <c r="L49" i="13"/>
  <c r="J49" i="13"/>
  <c r="I49" i="13"/>
  <c r="G49" i="13"/>
  <c r="F49" i="13"/>
  <c r="P48" i="13"/>
  <c r="O48" i="13"/>
  <c r="M48" i="13"/>
  <c r="L48" i="13"/>
  <c r="J48" i="13"/>
  <c r="I48" i="13"/>
  <c r="G48" i="13"/>
  <c r="F48" i="13"/>
  <c r="P47" i="13"/>
  <c r="O47" i="13"/>
  <c r="M47" i="13"/>
  <c r="L47" i="13"/>
  <c r="J47" i="13"/>
  <c r="I47" i="13"/>
  <c r="G47" i="13"/>
  <c r="F47" i="13"/>
  <c r="P46" i="13"/>
  <c r="O46" i="13"/>
  <c r="M46" i="13"/>
  <c r="L46" i="13"/>
  <c r="J46" i="13"/>
  <c r="I46" i="13"/>
  <c r="G46" i="13"/>
  <c r="F46" i="13"/>
  <c r="O45" i="13"/>
  <c r="L45" i="13"/>
  <c r="I45" i="13"/>
  <c r="F45" i="13"/>
  <c r="O44" i="13"/>
  <c r="L44" i="13"/>
  <c r="I44" i="13"/>
  <c r="F44" i="13"/>
  <c r="O43" i="13"/>
  <c r="L43" i="13"/>
  <c r="I43" i="13"/>
  <c r="F43" i="13"/>
  <c r="O42" i="13"/>
  <c r="L42" i="13"/>
  <c r="I42" i="13"/>
  <c r="F42" i="13"/>
  <c r="O41" i="13"/>
  <c r="L41" i="13"/>
  <c r="I41" i="13"/>
  <c r="F41" i="13"/>
  <c r="O40" i="13"/>
  <c r="L40" i="13"/>
  <c r="I40" i="13"/>
  <c r="F40" i="13"/>
  <c r="O39" i="13"/>
  <c r="L39" i="13"/>
  <c r="I39" i="13"/>
  <c r="F39" i="13"/>
  <c r="O38" i="13"/>
  <c r="L38" i="13"/>
  <c r="I38" i="13"/>
  <c r="F38" i="13"/>
  <c r="N37" i="13"/>
  <c r="N52" i="13"/>
  <c r="K37" i="13"/>
  <c r="H37" i="13"/>
  <c r="H52" i="13"/>
  <c r="E37" i="13"/>
  <c r="D37" i="13"/>
  <c r="D52" i="13"/>
  <c r="O36" i="13"/>
  <c r="L36" i="13"/>
  <c r="I36" i="13"/>
  <c r="F36" i="13"/>
  <c r="O35" i="13"/>
  <c r="L35" i="13"/>
  <c r="I35" i="13"/>
  <c r="F35" i="13"/>
  <c r="O33" i="13"/>
  <c r="L33" i="13"/>
  <c r="I33" i="13"/>
  <c r="F33" i="13"/>
  <c r="O32" i="13"/>
  <c r="L32" i="13"/>
  <c r="I32" i="13"/>
  <c r="F32" i="13"/>
  <c r="P31" i="13"/>
  <c r="O31" i="13"/>
  <c r="M31" i="13"/>
  <c r="L31" i="13"/>
  <c r="J31" i="13"/>
  <c r="I31" i="13"/>
  <c r="G31" i="13"/>
  <c r="F31" i="13"/>
  <c r="P30" i="13"/>
  <c r="O30" i="13"/>
  <c r="M30" i="13"/>
  <c r="L30" i="13"/>
  <c r="J30" i="13"/>
  <c r="I30" i="13"/>
  <c r="G30" i="13"/>
  <c r="F30" i="13"/>
  <c r="P29" i="13"/>
  <c r="O29" i="13"/>
  <c r="M29" i="13"/>
  <c r="L29" i="13"/>
  <c r="J29" i="13"/>
  <c r="I29" i="13"/>
  <c r="G29" i="13"/>
  <c r="F29" i="13"/>
  <c r="P28" i="13"/>
  <c r="O28" i="13"/>
  <c r="M28" i="13"/>
  <c r="L28" i="13"/>
  <c r="J28" i="13"/>
  <c r="I28" i="13"/>
  <c r="G28" i="13"/>
  <c r="F28" i="13"/>
  <c r="P27" i="13"/>
  <c r="O27" i="13"/>
  <c r="M27" i="13"/>
  <c r="L27" i="13"/>
  <c r="J27" i="13"/>
  <c r="I27" i="13"/>
  <c r="G27" i="13"/>
  <c r="F27" i="13"/>
  <c r="N26" i="13"/>
  <c r="K26" i="13"/>
  <c r="O26" i="13"/>
  <c r="H26" i="13"/>
  <c r="E26" i="13"/>
  <c r="I26" i="13"/>
  <c r="D26" i="13"/>
  <c r="F26" i="13"/>
  <c r="P25" i="13"/>
  <c r="O25" i="13"/>
  <c r="M25" i="13"/>
  <c r="L25" i="13"/>
  <c r="J25" i="13"/>
  <c r="I25" i="13"/>
  <c r="G25" i="13"/>
  <c r="F25" i="13"/>
  <c r="P24" i="13"/>
  <c r="O24" i="13"/>
  <c r="M24" i="13"/>
  <c r="L24" i="13"/>
  <c r="J24" i="13"/>
  <c r="I24" i="13"/>
  <c r="G24" i="13"/>
  <c r="F24" i="13"/>
  <c r="N23" i="13"/>
  <c r="K23" i="13"/>
  <c r="H23" i="13"/>
  <c r="L23" i="13"/>
  <c r="E23" i="13"/>
  <c r="D23" i="13"/>
  <c r="F23" i="13"/>
  <c r="P22" i="13"/>
  <c r="O22" i="13"/>
  <c r="M22" i="13"/>
  <c r="L22" i="13"/>
  <c r="J22" i="13"/>
  <c r="I22" i="13"/>
  <c r="G22" i="13"/>
  <c r="F22" i="13"/>
  <c r="P21" i="13"/>
  <c r="O21" i="13"/>
  <c r="M21" i="13"/>
  <c r="L21" i="13"/>
  <c r="J21" i="13"/>
  <c r="I21" i="13"/>
  <c r="G21" i="13"/>
  <c r="F21" i="13"/>
  <c r="N20" i="13"/>
  <c r="H20" i="13"/>
  <c r="E20" i="13"/>
  <c r="D20" i="13"/>
  <c r="G20" i="13"/>
  <c r="N19" i="13"/>
  <c r="H19" i="13"/>
  <c r="E19" i="13"/>
  <c r="D19" i="13"/>
  <c r="F19" i="13"/>
  <c r="O18" i="13"/>
  <c r="L18" i="13"/>
  <c r="I18" i="13"/>
  <c r="F18" i="13"/>
  <c r="K17" i="13"/>
  <c r="K20" i="13"/>
  <c r="J17" i="13"/>
  <c r="I17" i="13"/>
  <c r="G17" i="13"/>
  <c r="F17" i="13"/>
  <c r="P14" i="13"/>
  <c r="O14" i="13"/>
  <c r="M14" i="13"/>
  <c r="L14" i="13"/>
  <c r="J14" i="13"/>
  <c r="I14" i="13"/>
  <c r="G14" i="13"/>
  <c r="F14" i="13"/>
  <c r="P13" i="13"/>
  <c r="O13" i="13"/>
  <c r="M13" i="13"/>
  <c r="L13" i="13"/>
  <c r="J13" i="13"/>
  <c r="I13" i="13"/>
  <c r="G13" i="13"/>
  <c r="F13" i="13"/>
  <c r="N12" i="13"/>
  <c r="K12" i="13"/>
  <c r="P12" i="13"/>
  <c r="H12" i="13"/>
  <c r="E12" i="13"/>
  <c r="J12" i="13"/>
  <c r="D12" i="13"/>
  <c r="P11" i="13"/>
  <c r="O11" i="13"/>
  <c r="M11" i="13"/>
  <c r="L11" i="13"/>
  <c r="J11" i="13"/>
  <c r="I11" i="13"/>
  <c r="G11" i="13"/>
  <c r="F11" i="13"/>
  <c r="P10" i="13"/>
  <c r="O10" i="13"/>
  <c r="M10" i="13"/>
  <c r="L10" i="13"/>
  <c r="J10" i="13"/>
  <c r="I10" i="13"/>
  <c r="G10" i="13"/>
  <c r="F10" i="13"/>
  <c r="P9" i="13"/>
  <c r="O9" i="13"/>
  <c r="M9" i="13"/>
  <c r="L9" i="13"/>
  <c r="J9" i="13"/>
  <c r="I9" i="13"/>
  <c r="G9" i="13"/>
  <c r="F9" i="13"/>
  <c r="N8" i="13"/>
  <c r="K8" i="13"/>
  <c r="H8" i="13"/>
  <c r="M8" i="13"/>
  <c r="E8" i="13"/>
  <c r="D8" i="13"/>
  <c r="G8" i="13"/>
  <c r="N7" i="13"/>
  <c r="K7" i="13"/>
  <c r="P7" i="13"/>
  <c r="H7" i="13"/>
  <c r="E7" i="13"/>
  <c r="J7" i="13"/>
  <c r="D7" i="13"/>
  <c r="P6" i="13"/>
  <c r="O6" i="13"/>
  <c r="M6" i="13"/>
  <c r="L6" i="13"/>
  <c r="J6" i="13"/>
  <c r="I6" i="13"/>
  <c r="G6" i="13"/>
  <c r="F6" i="13"/>
  <c r="P5" i="13"/>
  <c r="O5" i="13"/>
  <c r="M5" i="13"/>
  <c r="L5" i="13"/>
  <c r="J5" i="13"/>
  <c r="I5" i="13"/>
  <c r="G5" i="13"/>
  <c r="F5" i="13"/>
  <c r="G52" i="15"/>
  <c r="M52" i="15"/>
  <c r="J109" i="15"/>
  <c r="P109" i="15"/>
  <c r="G110" i="15"/>
  <c r="M110" i="15"/>
  <c r="G126" i="15"/>
  <c r="M126" i="15"/>
  <c r="F16" i="20"/>
  <c r="F17" i="20"/>
  <c r="K18" i="20"/>
  <c r="I23" i="20"/>
  <c r="G23" i="20"/>
  <c r="E15" i="13"/>
  <c r="K15" i="13"/>
  <c r="D15" i="13"/>
  <c r="I8" i="13"/>
  <c r="O8" i="13"/>
  <c r="F12" i="13"/>
  <c r="L12" i="13"/>
  <c r="E16" i="13"/>
  <c r="J19" i="13"/>
  <c r="D16" i="13"/>
  <c r="I20" i="13"/>
  <c r="J23" i="13"/>
  <c r="P23" i="13"/>
  <c r="G26" i="13"/>
  <c r="M26" i="13"/>
  <c r="I53" i="13"/>
  <c r="M53" i="13"/>
  <c r="F62" i="13"/>
  <c r="I62" i="13"/>
  <c r="O62" i="13"/>
  <c r="G8" i="15"/>
  <c r="M8" i="15"/>
  <c r="J17" i="15"/>
  <c r="P17" i="15"/>
  <c r="E35" i="15"/>
  <c r="F35" i="15"/>
  <c r="I36" i="15"/>
  <c r="O36" i="15"/>
  <c r="F43" i="15"/>
  <c r="L43" i="15"/>
  <c r="F62" i="15"/>
  <c r="L62" i="15"/>
  <c r="F67" i="15"/>
  <c r="I67" i="15"/>
  <c r="O67" i="15"/>
  <c r="H76" i="15"/>
  <c r="J77" i="15"/>
  <c r="P77" i="15"/>
  <c r="J86" i="15"/>
  <c r="P86" i="15"/>
  <c r="G89" i="15"/>
  <c r="M89" i="15"/>
  <c r="E93" i="15"/>
  <c r="F93" i="15"/>
  <c r="I94" i="15"/>
  <c r="O94" i="15"/>
  <c r="G99" i="15"/>
  <c r="M99" i="15"/>
  <c r="G122" i="15"/>
  <c r="M122" i="15"/>
  <c r="E6" i="14"/>
  <c r="E5" i="14"/>
  <c r="E9" i="14"/>
  <c r="E19" i="14"/>
  <c r="E17" i="14"/>
  <c r="H23" i="20"/>
  <c r="H17" i="20"/>
  <c r="H19" i="20"/>
  <c r="H21" i="20"/>
  <c r="F21" i="20"/>
  <c r="I17" i="20"/>
  <c r="G17" i="20"/>
  <c r="I19" i="20"/>
  <c r="G19" i="20"/>
  <c r="I21" i="20"/>
  <c r="O6" i="20"/>
  <c r="G21" i="20"/>
  <c r="F19" i="20"/>
  <c r="F23" i="20"/>
  <c r="M40" i="14"/>
  <c r="M38" i="14"/>
  <c r="K46" i="14"/>
  <c r="K44" i="14"/>
  <c r="K41" i="14"/>
  <c r="K39" i="14"/>
  <c r="I38" i="14"/>
  <c r="E15" i="14"/>
  <c r="E13" i="14"/>
  <c r="E11" i="14"/>
  <c r="E7" i="14"/>
  <c r="E20" i="14"/>
  <c r="G19" i="14"/>
  <c r="G17" i="14"/>
  <c r="G15" i="14"/>
  <c r="G13" i="14"/>
  <c r="G11" i="14"/>
  <c r="G9" i="14"/>
  <c r="G7" i="14"/>
  <c r="I5" i="14"/>
  <c r="I19" i="14"/>
  <c r="I17" i="14"/>
  <c r="I15" i="14"/>
  <c r="I13" i="14"/>
  <c r="I11" i="14"/>
  <c r="I9" i="14"/>
  <c r="I7" i="14"/>
  <c r="G20" i="14"/>
  <c r="K20" i="14"/>
  <c r="K18" i="14"/>
  <c r="K16" i="14"/>
  <c r="K14" i="14"/>
  <c r="K12" i="14"/>
  <c r="K10" i="14"/>
  <c r="K8" i="14"/>
  <c r="K6" i="14"/>
  <c r="M20" i="14"/>
  <c r="M18" i="14"/>
  <c r="M16" i="14"/>
  <c r="M14" i="14"/>
  <c r="M12" i="14"/>
  <c r="M10" i="14"/>
  <c r="M8" i="14"/>
  <c r="M6" i="14"/>
  <c r="E18" i="14"/>
  <c r="E16" i="14"/>
  <c r="E14" i="14"/>
  <c r="E12" i="14"/>
  <c r="E10" i="14"/>
  <c r="E8" i="14"/>
  <c r="G5" i="14"/>
  <c r="G18" i="14"/>
  <c r="G16" i="14"/>
  <c r="G14" i="14"/>
  <c r="G12" i="14"/>
  <c r="G10" i="14"/>
  <c r="G8" i="14"/>
  <c r="I20" i="14"/>
  <c r="I18" i="14"/>
  <c r="I16" i="14"/>
  <c r="I14" i="14"/>
  <c r="I12" i="14"/>
  <c r="I10" i="14"/>
  <c r="I8" i="14"/>
  <c r="K5" i="14"/>
  <c r="K19" i="14"/>
  <c r="K17" i="14"/>
  <c r="K15" i="14"/>
  <c r="K13" i="14"/>
  <c r="K11" i="14"/>
  <c r="K9" i="14"/>
  <c r="M5" i="14"/>
  <c r="M19" i="14"/>
  <c r="M17" i="14"/>
  <c r="M15" i="14"/>
  <c r="M13" i="14"/>
  <c r="M11" i="14"/>
  <c r="M9" i="14"/>
  <c r="G7" i="15"/>
  <c r="F8" i="15"/>
  <c r="J8" i="15"/>
  <c r="L8" i="15"/>
  <c r="P8" i="15"/>
  <c r="G17" i="15"/>
  <c r="I17" i="15"/>
  <c r="M17" i="15"/>
  <c r="O17" i="15"/>
  <c r="L27" i="15"/>
  <c r="G35" i="15"/>
  <c r="F36" i="15"/>
  <c r="J36" i="15"/>
  <c r="L36" i="15"/>
  <c r="P36" i="15"/>
  <c r="G43" i="15"/>
  <c r="I43" i="15"/>
  <c r="M43" i="15"/>
  <c r="O43" i="15"/>
  <c r="J52" i="15"/>
  <c r="L52" i="15"/>
  <c r="P52" i="15"/>
  <c r="G62" i="15"/>
  <c r="I62" i="15"/>
  <c r="M62" i="15"/>
  <c r="O62" i="15"/>
  <c r="J67" i="15"/>
  <c r="L67" i="15"/>
  <c r="P67" i="15"/>
  <c r="G77" i="15"/>
  <c r="I77" i="15"/>
  <c r="M77" i="15"/>
  <c r="O77" i="15"/>
  <c r="L81" i="15"/>
  <c r="G86" i="15"/>
  <c r="I86" i="15"/>
  <c r="M86" i="15"/>
  <c r="O86" i="15"/>
  <c r="J89" i="15"/>
  <c r="L89" i="15"/>
  <c r="P89" i="15"/>
  <c r="G93" i="15"/>
  <c r="F94" i="15"/>
  <c r="J94" i="15"/>
  <c r="L94" i="15"/>
  <c r="P94" i="15"/>
  <c r="I99" i="15"/>
  <c r="O99" i="15"/>
  <c r="G109" i="15"/>
  <c r="I109" i="15"/>
  <c r="M109" i="15"/>
  <c r="O109" i="15"/>
  <c r="J110" i="15"/>
  <c r="L110" i="15"/>
  <c r="P110" i="15"/>
  <c r="I122" i="15"/>
  <c r="O122" i="15"/>
  <c r="J126" i="15"/>
  <c r="L126" i="15"/>
  <c r="P126" i="15"/>
  <c r="E5" i="15"/>
  <c r="K5" i="15"/>
  <c r="H7" i="15"/>
  <c r="N7" i="15"/>
  <c r="H35" i="15"/>
  <c r="N35" i="15"/>
  <c r="E76" i="15"/>
  <c r="K76" i="15"/>
  <c r="H93" i="15"/>
  <c r="N93" i="15"/>
  <c r="J99" i="15"/>
  <c r="J122" i="15"/>
  <c r="G15" i="13"/>
  <c r="F15" i="13"/>
  <c r="E34" i="13"/>
  <c r="M20" i="13"/>
  <c r="L20" i="13"/>
  <c r="O20" i="13"/>
  <c r="G7" i="13"/>
  <c r="O7" i="13"/>
  <c r="F8" i="13"/>
  <c r="J8" i="13"/>
  <c r="P8" i="13"/>
  <c r="I12" i="13"/>
  <c r="M12" i="13"/>
  <c r="H15" i="13"/>
  <c r="G16" i="13"/>
  <c r="P17" i="13"/>
  <c r="G19" i="13"/>
  <c r="I19" i="13"/>
  <c r="K19" i="13"/>
  <c r="F20" i="13"/>
  <c r="J20" i="13"/>
  <c r="P20" i="13"/>
  <c r="G23" i="13"/>
  <c r="I23" i="13"/>
  <c r="M23" i="13"/>
  <c r="O23" i="13"/>
  <c r="J26" i="13"/>
  <c r="L26" i="13"/>
  <c r="P26" i="13"/>
  <c r="F37" i="13"/>
  <c r="L37" i="13"/>
  <c r="E52" i="13"/>
  <c r="I52" i="13"/>
  <c r="K52" i="13"/>
  <c r="F53" i="13"/>
  <c r="L53" i="13"/>
  <c r="P53" i="13"/>
  <c r="L62" i="13"/>
  <c r="I7" i="13"/>
  <c r="M7" i="13"/>
  <c r="L8" i="13"/>
  <c r="G12" i="13"/>
  <c r="O12" i="13"/>
  <c r="N15" i="13"/>
  <c r="M17" i="13"/>
  <c r="F7" i="13"/>
  <c r="L7" i="13"/>
  <c r="H16" i="13"/>
  <c r="N16" i="13"/>
  <c r="L17" i="13"/>
  <c r="O17" i="13"/>
  <c r="I37" i="13"/>
  <c r="O37" i="13"/>
  <c r="G53" i="13"/>
  <c r="C7" i="12"/>
  <c r="D7" i="12"/>
  <c r="D9" i="12"/>
  <c r="F7" i="12"/>
  <c r="F9" i="12"/>
  <c r="D10" i="12"/>
  <c r="F10" i="12"/>
  <c r="C10" i="12"/>
  <c r="C9" i="12"/>
  <c r="C8" i="12"/>
  <c r="D8" i="12"/>
  <c r="E7" i="12"/>
  <c r="E8" i="12"/>
  <c r="F8" i="12"/>
  <c r="G7" i="12"/>
  <c r="G8" i="12"/>
  <c r="F17" i="11"/>
  <c r="G17" i="11"/>
  <c r="H17" i="11"/>
  <c r="I17" i="11"/>
  <c r="P3" i="11"/>
  <c r="G10" i="12"/>
  <c r="E10" i="12"/>
  <c r="G9" i="12"/>
  <c r="E9" i="12"/>
  <c r="D34" i="13"/>
  <c r="O7" i="20"/>
  <c r="O5" i="20"/>
  <c r="F16" i="13"/>
  <c r="J93" i="15"/>
  <c r="I93" i="15"/>
  <c r="G76" i="15"/>
  <c r="F76" i="15"/>
  <c r="E75" i="15"/>
  <c r="J35" i="15"/>
  <c r="I35" i="15"/>
  <c r="J7" i="15"/>
  <c r="I7" i="15"/>
  <c r="H5" i="15"/>
  <c r="G5" i="15"/>
  <c r="F5" i="15"/>
  <c r="H75" i="15"/>
  <c r="J76" i="15"/>
  <c r="M7" i="15"/>
  <c r="L93" i="15"/>
  <c r="L35" i="15"/>
  <c r="L7" i="15"/>
  <c r="P93" i="15"/>
  <c r="O93" i="15"/>
  <c r="M76" i="15"/>
  <c r="L76" i="15"/>
  <c r="K75" i="15"/>
  <c r="P35" i="15"/>
  <c r="O35" i="15"/>
  <c r="P7" i="15"/>
  <c r="O7" i="15"/>
  <c r="N5" i="15"/>
  <c r="M5" i="15"/>
  <c r="L5" i="15"/>
  <c r="N75" i="15"/>
  <c r="M93" i="15"/>
  <c r="P76" i="15"/>
  <c r="M35" i="15"/>
  <c r="O76" i="15"/>
  <c r="I76" i="15"/>
  <c r="J16" i="13"/>
  <c r="I16" i="13"/>
  <c r="N34" i="13"/>
  <c r="O15" i="13"/>
  <c r="P15" i="13"/>
  <c r="L52" i="13"/>
  <c r="M52" i="13"/>
  <c r="L19" i="13"/>
  <c r="K16" i="13"/>
  <c r="P16" i="13"/>
  <c r="O19" i="13"/>
  <c r="M19" i="13"/>
  <c r="E65" i="13"/>
  <c r="F34" i="13"/>
  <c r="E56" i="13"/>
  <c r="G34" i="13"/>
  <c r="P19" i="13"/>
  <c r="O52" i="13"/>
  <c r="O16" i="13"/>
  <c r="F52" i="13"/>
  <c r="G52" i="13"/>
  <c r="H34" i="13"/>
  <c r="I15" i="13"/>
  <c r="J15" i="13"/>
  <c r="L15" i="13"/>
  <c r="M15" i="13"/>
  <c r="P52" i="13"/>
  <c r="J52" i="13"/>
  <c r="T10" i="7"/>
  <c r="T9" i="7"/>
  <c r="T8" i="7"/>
  <c r="T7" i="7"/>
  <c r="T6" i="7"/>
  <c r="T5" i="7"/>
  <c r="T4" i="7"/>
  <c r="N126" i="4"/>
  <c r="N122" i="4"/>
  <c r="N110" i="4"/>
  <c r="N109" i="4"/>
  <c r="N99" i="4"/>
  <c r="N94" i="4"/>
  <c r="N93" i="4"/>
  <c r="N89" i="4"/>
  <c r="N86" i="4"/>
  <c r="N81" i="4"/>
  <c r="N77" i="4"/>
  <c r="N76" i="4"/>
  <c r="N75" i="4"/>
  <c r="N67" i="4"/>
  <c r="N62" i="4"/>
  <c r="N52" i="4"/>
  <c r="N43" i="4"/>
  <c r="N36" i="4"/>
  <c r="N27" i="4"/>
  <c r="N17" i="4"/>
  <c r="N8" i="4"/>
  <c r="N7" i="4"/>
  <c r="K126" i="4"/>
  <c r="K122" i="4"/>
  <c r="K110" i="4"/>
  <c r="K109" i="4"/>
  <c r="K99" i="4"/>
  <c r="K94" i="4"/>
  <c r="K93" i="4"/>
  <c r="K89" i="4"/>
  <c r="K86" i="4"/>
  <c r="K81" i="4"/>
  <c r="K77" i="4"/>
  <c r="K76" i="4"/>
  <c r="K75" i="4"/>
  <c r="K67" i="4"/>
  <c r="K62" i="4"/>
  <c r="K52" i="4"/>
  <c r="K43" i="4"/>
  <c r="K36" i="4"/>
  <c r="K27" i="4"/>
  <c r="K17" i="4"/>
  <c r="K8" i="4"/>
  <c r="K7" i="4"/>
  <c r="H126" i="4"/>
  <c r="H122" i="4"/>
  <c r="H110" i="4"/>
  <c r="H109" i="4"/>
  <c r="H99" i="4"/>
  <c r="H94" i="4"/>
  <c r="H93" i="4"/>
  <c r="H89" i="4"/>
  <c r="H86" i="4"/>
  <c r="H81" i="4"/>
  <c r="H77" i="4"/>
  <c r="H76" i="4"/>
  <c r="H67" i="4"/>
  <c r="H62" i="4"/>
  <c r="H52" i="4"/>
  <c r="H43" i="4"/>
  <c r="H36" i="4"/>
  <c r="H27" i="4"/>
  <c r="H17" i="4"/>
  <c r="H8" i="4"/>
  <c r="H7" i="4"/>
  <c r="E126" i="4"/>
  <c r="D126" i="4"/>
  <c r="E122" i="4"/>
  <c r="D122" i="4"/>
  <c r="E110" i="4"/>
  <c r="D110" i="4"/>
  <c r="E109" i="4"/>
  <c r="E99" i="4"/>
  <c r="D99" i="4"/>
  <c r="E94" i="4"/>
  <c r="D94" i="4"/>
  <c r="E93" i="4"/>
  <c r="D93" i="4"/>
  <c r="E89" i="4"/>
  <c r="D89" i="4"/>
  <c r="E86" i="4"/>
  <c r="D86" i="4"/>
  <c r="E81" i="4"/>
  <c r="D81" i="4"/>
  <c r="E77" i="4"/>
  <c r="D77" i="4"/>
  <c r="E76" i="4"/>
  <c r="D76" i="4"/>
  <c r="E75" i="4"/>
  <c r="D75" i="4"/>
  <c r="E67" i="4"/>
  <c r="D67" i="4"/>
  <c r="E62" i="4"/>
  <c r="D62" i="4"/>
  <c r="E52" i="4"/>
  <c r="D52" i="4"/>
  <c r="E43" i="4"/>
  <c r="D43" i="4"/>
  <c r="E36" i="4"/>
  <c r="D36" i="4"/>
  <c r="E35" i="4"/>
  <c r="D35" i="4"/>
  <c r="E27" i="4"/>
  <c r="D27" i="4"/>
  <c r="E17" i="4"/>
  <c r="D17" i="4"/>
  <c r="E7" i="4"/>
  <c r="D7" i="4"/>
  <c r="E5" i="4"/>
  <c r="D5" i="4"/>
  <c r="H106" i="2"/>
  <c r="G106" i="2"/>
  <c r="F106" i="2"/>
  <c r="E106" i="2"/>
  <c r="E96" i="2"/>
  <c r="E74" i="2"/>
  <c r="F74" i="2"/>
  <c r="G74" i="2"/>
  <c r="H74" i="2"/>
  <c r="D74" i="2"/>
  <c r="E123" i="2"/>
  <c r="F123" i="2"/>
  <c r="G123" i="2"/>
  <c r="H123" i="2"/>
  <c r="D123" i="2"/>
  <c r="E119" i="2"/>
  <c r="F119" i="2"/>
  <c r="G119" i="2"/>
  <c r="H119" i="2"/>
  <c r="D119" i="2"/>
  <c r="E107" i="2"/>
  <c r="F107" i="2"/>
  <c r="G107" i="2"/>
  <c r="H107" i="2"/>
  <c r="D107" i="2"/>
  <c r="F96" i="2"/>
  <c r="G96" i="2"/>
  <c r="H96" i="2"/>
  <c r="D96" i="2"/>
  <c r="E91" i="2"/>
  <c r="F91" i="2"/>
  <c r="G91" i="2"/>
  <c r="H91" i="2"/>
  <c r="D91" i="2"/>
  <c r="G90" i="2"/>
  <c r="E83" i="2"/>
  <c r="F83" i="2"/>
  <c r="G83" i="2"/>
  <c r="H83" i="2"/>
  <c r="D83" i="2"/>
  <c r="E78" i="2"/>
  <c r="F78" i="2"/>
  <c r="G78" i="2"/>
  <c r="H78" i="2"/>
  <c r="D78" i="2"/>
  <c r="E66" i="2"/>
  <c r="F66" i="2"/>
  <c r="G66" i="2"/>
  <c r="H66" i="2"/>
  <c r="D66" i="2"/>
  <c r="E61" i="2"/>
  <c r="F61" i="2"/>
  <c r="G61" i="2"/>
  <c r="H61" i="2"/>
  <c r="D61" i="2"/>
  <c r="E51" i="2"/>
  <c r="F51" i="2"/>
  <c r="G51" i="2"/>
  <c r="H51" i="2"/>
  <c r="D51" i="2"/>
  <c r="E42" i="2"/>
  <c r="F42" i="2"/>
  <c r="G42" i="2"/>
  <c r="H42" i="2"/>
  <c r="D42" i="2"/>
  <c r="E35" i="2"/>
  <c r="F35" i="2"/>
  <c r="G35" i="2"/>
  <c r="H35" i="2"/>
  <c r="D35" i="2"/>
  <c r="E26" i="2"/>
  <c r="F26" i="2"/>
  <c r="G26" i="2"/>
  <c r="H26" i="2"/>
  <c r="D26" i="2"/>
  <c r="E16" i="2"/>
  <c r="F16" i="2"/>
  <c r="G16" i="2"/>
  <c r="H16" i="2"/>
  <c r="D16" i="2"/>
  <c r="E7" i="2"/>
  <c r="F7" i="2"/>
  <c r="G7" i="2"/>
  <c r="G6" i="2"/>
  <c r="H7" i="2"/>
  <c r="D7" i="2"/>
  <c r="H6" i="2"/>
  <c r="H35" i="4"/>
  <c r="H75" i="4"/>
  <c r="K35" i="4"/>
  <c r="N35" i="4"/>
  <c r="N5" i="4"/>
  <c r="D65" i="13"/>
  <c r="D56" i="13"/>
  <c r="D64" i="13"/>
  <c r="P75" i="15"/>
  <c r="O75" i="15"/>
  <c r="L75" i="15"/>
  <c r="M75" i="15"/>
  <c r="J75" i="15"/>
  <c r="I75" i="15"/>
  <c r="F75" i="15"/>
  <c r="G75" i="15"/>
  <c r="O5" i="15"/>
  <c r="P5" i="15"/>
  <c r="I5" i="15"/>
  <c r="J5" i="15"/>
  <c r="L16" i="13"/>
  <c r="M16" i="13"/>
  <c r="K34" i="13"/>
  <c r="N56" i="13"/>
  <c r="P34" i="13"/>
  <c r="N65" i="13"/>
  <c r="O34" i="13"/>
  <c r="H56" i="13"/>
  <c r="J34" i="13"/>
  <c r="H65" i="13"/>
  <c r="I34" i="13"/>
  <c r="F56" i="13"/>
  <c r="E64" i="13"/>
  <c r="G56" i="13"/>
  <c r="G65" i="13"/>
  <c r="F65" i="13"/>
  <c r="K5" i="4"/>
  <c r="H5" i="4"/>
  <c r="F6" i="2"/>
  <c r="E90" i="2"/>
  <c r="F90" i="2"/>
  <c r="E34" i="2"/>
  <c r="F34" i="2"/>
  <c r="F4" i="2"/>
  <c r="G34" i="2"/>
  <c r="G4" i="2"/>
  <c r="E6" i="2"/>
  <c r="H90" i="2"/>
  <c r="D90" i="2"/>
  <c r="H34" i="2"/>
  <c r="H4" i="2"/>
  <c r="D34" i="2"/>
  <c r="D6" i="2"/>
  <c r="F64" i="13"/>
  <c r="G64" i="13"/>
  <c r="K65" i="13"/>
  <c r="L34" i="13"/>
  <c r="K56" i="13"/>
  <c r="M34" i="13"/>
  <c r="I65" i="13"/>
  <c r="J65" i="13"/>
  <c r="H64" i="13"/>
  <c r="J56" i="13"/>
  <c r="I56" i="13"/>
  <c r="O65" i="13"/>
  <c r="P65" i="13"/>
  <c r="N64" i="13"/>
  <c r="P56" i="13"/>
  <c r="O56" i="13"/>
  <c r="E4" i="2"/>
  <c r="D4" i="2"/>
  <c r="G6" i="11"/>
  <c r="F6" i="11"/>
  <c r="F5" i="11"/>
  <c r="H5" i="11"/>
  <c r="I5" i="11"/>
  <c r="F16" i="6"/>
  <c r="G16" i="6"/>
  <c r="I16" i="6"/>
  <c r="J16" i="6"/>
  <c r="L16" i="6"/>
  <c r="M16" i="6"/>
  <c r="O16" i="6"/>
  <c r="P16" i="6"/>
  <c r="N62" i="3"/>
  <c r="N53" i="3"/>
  <c r="N37" i="3"/>
  <c r="N52" i="3"/>
  <c r="N26" i="3"/>
  <c r="N23" i="3"/>
  <c r="N20" i="3"/>
  <c r="N19" i="3"/>
  <c r="N16" i="3"/>
  <c r="N12" i="3"/>
  <c r="N8" i="3"/>
  <c r="N7" i="3"/>
  <c r="N15" i="3"/>
  <c r="K62" i="3"/>
  <c r="K53" i="3"/>
  <c r="K37" i="3"/>
  <c r="K52" i="3"/>
  <c r="K26" i="3"/>
  <c r="K23" i="3"/>
  <c r="K17" i="3"/>
  <c r="K19" i="3"/>
  <c r="K12" i="3"/>
  <c r="K8" i="3"/>
  <c r="K7" i="3"/>
  <c r="H62" i="3"/>
  <c r="H53" i="3"/>
  <c r="H37" i="3"/>
  <c r="H52" i="3"/>
  <c r="H26" i="3"/>
  <c r="H23" i="3"/>
  <c r="H20" i="3"/>
  <c r="H19" i="3"/>
  <c r="H16" i="3"/>
  <c r="H12" i="3"/>
  <c r="H8" i="3"/>
  <c r="H7" i="3"/>
  <c r="H15" i="3"/>
  <c r="E62" i="3"/>
  <c r="D62" i="3"/>
  <c r="E53" i="3"/>
  <c r="D53" i="3"/>
  <c r="E37" i="3"/>
  <c r="E52" i="3"/>
  <c r="D37" i="3"/>
  <c r="D52" i="3"/>
  <c r="E26" i="3"/>
  <c r="D26" i="3"/>
  <c r="E23" i="3"/>
  <c r="D23" i="3"/>
  <c r="E20" i="3"/>
  <c r="D20" i="3"/>
  <c r="E19" i="3"/>
  <c r="D19" i="3"/>
  <c r="E16" i="3"/>
  <c r="D16" i="3"/>
  <c r="E12" i="3"/>
  <c r="D12" i="3"/>
  <c r="E8" i="3"/>
  <c r="D8" i="3"/>
  <c r="E7" i="3"/>
  <c r="E15" i="3"/>
  <c r="E34" i="3"/>
  <c r="D7" i="3"/>
  <c r="D15" i="3"/>
  <c r="D34" i="3"/>
  <c r="E18" i="1"/>
  <c r="F18" i="1"/>
  <c r="H18" i="1"/>
  <c r="D18" i="1"/>
  <c r="E19" i="1"/>
  <c r="F19" i="1"/>
  <c r="H19" i="1"/>
  <c r="D19" i="1"/>
  <c r="G16" i="1"/>
  <c r="G18" i="1"/>
  <c r="E61" i="1"/>
  <c r="F61" i="1"/>
  <c r="G61" i="1"/>
  <c r="H61" i="1"/>
  <c r="D61" i="1"/>
  <c r="G19" i="1"/>
  <c r="H34" i="3"/>
  <c r="N34" i="3"/>
  <c r="K15" i="3"/>
  <c r="H6" i="11"/>
  <c r="I6" i="11"/>
  <c r="J64" i="13"/>
  <c r="I64" i="13"/>
  <c r="L56" i="13"/>
  <c r="K64" i="13"/>
  <c r="O64" i="13"/>
  <c r="M56" i="13"/>
  <c r="M65" i="13"/>
  <c r="L65" i="13"/>
  <c r="P64" i="13"/>
  <c r="G15" i="6"/>
  <c r="I15" i="6"/>
  <c r="O15" i="6"/>
  <c r="F15" i="6"/>
  <c r="L15" i="6"/>
  <c r="N56" i="3"/>
  <c r="N64" i="3"/>
  <c r="N65" i="3"/>
  <c r="K20" i="3"/>
  <c r="K16" i="3"/>
  <c r="K34" i="3"/>
  <c r="H56" i="3"/>
  <c r="H64" i="3"/>
  <c r="H65" i="3"/>
  <c r="E65" i="3"/>
  <c r="E56" i="3"/>
  <c r="E64" i="3"/>
  <c r="D65" i="3"/>
  <c r="D56" i="3"/>
  <c r="D64" i="3"/>
  <c r="L64" i="13"/>
  <c r="M64" i="13"/>
  <c r="P15" i="6"/>
  <c r="J15" i="6"/>
  <c r="M15" i="6"/>
  <c r="K56" i="3"/>
  <c r="K64" i="3"/>
  <c r="K65" i="3"/>
  <c r="E52" i="1"/>
  <c r="F52" i="1"/>
  <c r="G52" i="1"/>
  <c r="H52" i="1"/>
  <c r="D52" i="1"/>
  <c r="D36" i="1"/>
  <c r="D51" i="1"/>
  <c r="E36" i="1"/>
  <c r="E51" i="1"/>
  <c r="F36" i="1"/>
  <c r="F51" i="1"/>
  <c r="G36" i="1"/>
  <c r="G51" i="1"/>
  <c r="H36" i="1"/>
  <c r="H51" i="1"/>
  <c r="E25" i="1"/>
  <c r="F25" i="1"/>
  <c r="G25" i="1"/>
  <c r="H25" i="1"/>
  <c r="D25" i="1"/>
  <c r="E22" i="1"/>
  <c r="F22" i="1"/>
  <c r="G22" i="1"/>
  <c r="H22" i="1"/>
  <c r="D22" i="1"/>
  <c r="E15" i="1"/>
  <c r="D15" i="1"/>
  <c r="F15" i="1"/>
  <c r="G15" i="1"/>
  <c r="H15" i="1"/>
  <c r="E11" i="1"/>
  <c r="F11" i="1"/>
  <c r="G11" i="1"/>
  <c r="H11" i="1"/>
  <c r="D11" i="1"/>
  <c r="E7" i="1"/>
  <c r="F7" i="1"/>
  <c r="G7" i="1"/>
  <c r="H7" i="1"/>
  <c r="D7" i="1"/>
  <c r="E6" i="1"/>
  <c r="F6" i="1"/>
  <c r="G6" i="1"/>
  <c r="H6" i="1"/>
  <c r="D6" i="1"/>
  <c r="D14" i="1"/>
  <c r="U7" i="6"/>
  <c r="U6" i="6"/>
  <c r="N32" i="6"/>
  <c r="K32" i="6"/>
  <c r="H32" i="6"/>
  <c r="E32" i="6"/>
  <c r="D32" i="6"/>
  <c r="U5" i="6"/>
  <c r="E30" i="6"/>
  <c r="H30" i="6"/>
  <c r="K30" i="6"/>
  <c r="N30" i="6"/>
  <c r="U8" i="6"/>
  <c r="U9" i="6"/>
  <c r="P128" i="4"/>
  <c r="P122" i="4"/>
  <c r="P123" i="4"/>
  <c r="P124" i="4"/>
  <c r="P126" i="4"/>
  <c r="P127" i="4"/>
  <c r="P110" i="4"/>
  <c r="P111" i="4"/>
  <c r="P115" i="4"/>
  <c r="P116" i="4"/>
  <c r="P117" i="4"/>
  <c r="P118" i="4"/>
  <c r="P120" i="4"/>
  <c r="P121" i="4"/>
  <c r="P109" i="4"/>
  <c r="P88" i="4"/>
  <c r="P89" i="4"/>
  <c r="P90" i="4"/>
  <c r="P92" i="4"/>
  <c r="P93" i="4"/>
  <c r="P94" i="4"/>
  <c r="P95" i="4"/>
  <c r="P99" i="4"/>
  <c r="P76" i="4"/>
  <c r="P77" i="4"/>
  <c r="P78" i="4"/>
  <c r="P86" i="4"/>
  <c r="P87" i="4"/>
  <c r="P75" i="4"/>
  <c r="P58" i="4"/>
  <c r="P59" i="4"/>
  <c r="P60" i="4"/>
  <c r="P61" i="4"/>
  <c r="P62" i="4"/>
  <c r="P63" i="4"/>
  <c r="P64" i="4"/>
  <c r="P67" i="4"/>
  <c r="P68" i="4"/>
  <c r="P70" i="4"/>
  <c r="P52" i="4"/>
  <c r="P53" i="4"/>
  <c r="P35" i="4"/>
  <c r="P36" i="4"/>
  <c r="P37" i="4"/>
  <c r="P38" i="4"/>
  <c r="P39" i="4"/>
  <c r="P41" i="4"/>
  <c r="P43" i="4"/>
  <c r="P44" i="4"/>
  <c r="P18" i="4"/>
  <c r="P19" i="4"/>
  <c r="P20" i="4"/>
  <c r="P24" i="4"/>
  <c r="P25" i="4"/>
  <c r="P26" i="4"/>
  <c r="P7" i="4"/>
  <c r="P8" i="4"/>
  <c r="P11" i="4"/>
  <c r="P15" i="4"/>
  <c r="P17" i="4"/>
  <c r="P5" i="4"/>
  <c r="M116" i="4"/>
  <c r="M117" i="4"/>
  <c r="M118" i="4"/>
  <c r="M120" i="4"/>
  <c r="M121" i="4"/>
  <c r="M122" i="4"/>
  <c r="M123" i="4"/>
  <c r="M124" i="4"/>
  <c r="M126" i="4"/>
  <c r="M127" i="4"/>
  <c r="M128" i="4"/>
  <c r="M109" i="4"/>
  <c r="M110" i="4"/>
  <c r="M111" i="4"/>
  <c r="M115" i="4"/>
  <c r="M95" i="4"/>
  <c r="M99" i="4"/>
  <c r="M86" i="4"/>
  <c r="M87" i="4"/>
  <c r="M88" i="4"/>
  <c r="M89" i="4"/>
  <c r="M90" i="4"/>
  <c r="M92" i="4"/>
  <c r="M93" i="4"/>
  <c r="M94" i="4"/>
  <c r="M76" i="4"/>
  <c r="M77" i="4"/>
  <c r="M78" i="4"/>
  <c r="M75" i="4"/>
  <c r="M58" i="4"/>
  <c r="M59" i="4"/>
  <c r="M60" i="4"/>
  <c r="M61" i="4"/>
  <c r="M62" i="4"/>
  <c r="M63" i="4"/>
  <c r="M64" i="4"/>
  <c r="M67" i="4"/>
  <c r="M68" i="4"/>
  <c r="M70" i="4"/>
  <c r="M52" i="4"/>
  <c r="M53" i="4"/>
  <c r="M35" i="4"/>
  <c r="M36" i="4"/>
  <c r="M37" i="4"/>
  <c r="M38" i="4"/>
  <c r="M39" i="4"/>
  <c r="M41" i="4"/>
  <c r="M42" i="4"/>
  <c r="M43" i="4"/>
  <c r="M44" i="4"/>
  <c r="M19" i="4"/>
  <c r="M20" i="4"/>
  <c r="M24" i="4"/>
  <c r="M25" i="4"/>
  <c r="M26" i="4"/>
  <c r="M7" i="4"/>
  <c r="M8" i="4"/>
  <c r="M11" i="4"/>
  <c r="M15" i="4"/>
  <c r="M17" i="4"/>
  <c r="M18" i="4"/>
  <c r="M5" i="4"/>
  <c r="J117" i="4"/>
  <c r="J118" i="4"/>
  <c r="J120" i="4"/>
  <c r="J121" i="4"/>
  <c r="J122" i="4"/>
  <c r="J123" i="4"/>
  <c r="J124" i="4"/>
  <c r="J126" i="4"/>
  <c r="J127" i="4"/>
  <c r="J128" i="4"/>
  <c r="J109" i="4"/>
  <c r="J110" i="4"/>
  <c r="J111" i="4"/>
  <c r="J115" i="4"/>
  <c r="J116" i="4"/>
  <c r="J90" i="4"/>
  <c r="J92" i="4"/>
  <c r="J93" i="4"/>
  <c r="J94" i="4"/>
  <c r="J95" i="4"/>
  <c r="J99" i="4"/>
  <c r="J76" i="4"/>
  <c r="J77" i="4"/>
  <c r="J78" i="4"/>
  <c r="J86" i="4"/>
  <c r="J87" i="4"/>
  <c r="J88" i="4"/>
  <c r="J89" i="4"/>
  <c r="J75" i="4"/>
  <c r="J58" i="4"/>
  <c r="J59" i="4"/>
  <c r="J60" i="4"/>
  <c r="J61" i="4"/>
  <c r="J62" i="4"/>
  <c r="J63" i="4"/>
  <c r="J64" i="4"/>
  <c r="J67" i="4"/>
  <c r="J68" i="4"/>
  <c r="J70" i="4"/>
  <c r="J44" i="4"/>
  <c r="J52" i="4"/>
  <c r="J53" i="4"/>
  <c r="J35" i="4"/>
  <c r="J36" i="4"/>
  <c r="J37" i="4"/>
  <c r="J38" i="4"/>
  <c r="J39" i="4"/>
  <c r="J41" i="4"/>
  <c r="J43" i="4"/>
  <c r="J24" i="4"/>
  <c r="J25" i="4"/>
  <c r="J26" i="4"/>
  <c r="J7" i="4"/>
  <c r="J8" i="4"/>
  <c r="J11" i="4"/>
  <c r="J15" i="4"/>
  <c r="J17" i="4"/>
  <c r="J18" i="4"/>
  <c r="J19" i="4"/>
  <c r="J20" i="4"/>
  <c r="J5" i="4"/>
  <c r="G121" i="4"/>
  <c r="G122" i="4"/>
  <c r="G123" i="4"/>
  <c r="G124" i="4"/>
  <c r="G126" i="4"/>
  <c r="G127" i="4"/>
  <c r="G128" i="4"/>
  <c r="G109" i="4"/>
  <c r="G110" i="4"/>
  <c r="G111" i="4"/>
  <c r="G115" i="4"/>
  <c r="G116" i="4"/>
  <c r="G117" i="4"/>
  <c r="G118" i="4"/>
  <c r="G120" i="4"/>
  <c r="G90" i="4"/>
  <c r="G92" i="4"/>
  <c r="G93" i="4"/>
  <c r="G94" i="4"/>
  <c r="G95" i="4"/>
  <c r="G99" i="4"/>
  <c r="G76" i="4"/>
  <c r="G77" i="4"/>
  <c r="G78" i="4"/>
  <c r="G86" i="4"/>
  <c r="G87" i="4"/>
  <c r="G88" i="4"/>
  <c r="G89" i="4"/>
  <c r="G75" i="4"/>
  <c r="G58" i="4"/>
  <c r="G59" i="4"/>
  <c r="G60" i="4"/>
  <c r="G61" i="4"/>
  <c r="G62" i="4"/>
  <c r="G63" i="4"/>
  <c r="G64" i="4"/>
  <c r="G67" i="4"/>
  <c r="G68" i="4"/>
  <c r="G70" i="4"/>
  <c r="G37" i="4"/>
  <c r="G38" i="4"/>
  <c r="G39" i="4"/>
  <c r="G41" i="4"/>
  <c r="G43" i="4"/>
  <c r="G44" i="4"/>
  <c r="G52" i="4"/>
  <c r="G53" i="4"/>
  <c r="G20" i="4"/>
  <c r="G24" i="4"/>
  <c r="G25" i="4"/>
  <c r="G26" i="4"/>
  <c r="G35" i="4"/>
  <c r="G36" i="4"/>
  <c r="G7" i="4"/>
  <c r="G11" i="4"/>
  <c r="G15" i="4"/>
  <c r="G17" i="4"/>
  <c r="G18" i="4"/>
  <c r="G19" i="4"/>
  <c r="G5" i="4"/>
  <c r="F26" i="6"/>
  <c r="I26" i="6"/>
  <c r="L26" i="6"/>
  <c r="O26" i="6"/>
  <c r="P28" i="6"/>
  <c r="O28" i="6"/>
  <c r="O27" i="6"/>
  <c r="P25" i="6"/>
  <c r="O25" i="6"/>
  <c r="P24" i="6"/>
  <c r="O24" i="6"/>
  <c r="P23" i="6"/>
  <c r="O23" i="6"/>
  <c r="P22" i="6"/>
  <c r="O22" i="6"/>
  <c r="P21" i="6"/>
  <c r="O21" i="6"/>
  <c r="P20" i="6"/>
  <c r="O20" i="6"/>
  <c r="P19" i="6"/>
  <c r="O19" i="6"/>
  <c r="P18" i="6"/>
  <c r="O18" i="6"/>
  <c r="P17" i="6"/>
  <c r="O17" i="6"/>
  <c r="P14" i="6"/>
  <c r="O14" i="6"/>
  <c r="P13" i="6"/>
  <c r="O13" i="6"/>
  <c r="P12" i="6"/>
  <c r="O12" i="6"/>
  <c r="P11" i="6"/>
  <c r="O11" i="6"/>
  <c r="P10" i="6"/>
  <c r="O10" i="6"/>
  <c r="P9" i="6"/>
  <c r="O9" i="6"/>
  <c r="P8" i="6"/>
  <c r="O8" i="6"/>
  <c r="P7" i="6"/>
  <c r="O7" i="6"/>
  <c r="P6" i="6"/>
  <c r="O6" i="6"/>
  <c r="P5" i="6"/>
  <c r="O5" i="6"/>
  <c r="M28" i="6"/>
  <c r="L28" i="6"/>
  <c r="M27" i="6"/>
  <c r="L27" i="6"/>
  <c r="M25" i="6"/>
  <c r="L25" i="6"/>
  <c r="M24" i="6"/>
  <c r="L24" i="6"/>
  <c r="M23" i="6"/>
  <c r="L23" i="6"/>
  <c r="M22" i="6"/>
  <c r="L22" i="6"/>
  <c r="M21" i="6"/>
  <c r="L21" i="6"/>
  <c r="M20" i="6"/>
  <c r="L20" i="6"/>
  <c r="M19" i="6"/>
  <c r="L19" i="6"/>
  <c r="M18" i="6"/>
  <c r="L18" i="6"/>
  <c r="M17" i="6"/>
  <c r="L17" i="6"/>
  <c r="M14" i="6"/>
  <c r="L14" i="6"/>
  <c r="M13" i="6"/>
  <c r="L13" i="6"/>
  <c r="M12" i="6"/>
  <c r="L12" i="6"/>
  <c r="M11" i="6"/>
  <c r="L11" i="6"/>
  <c r="M10" i="6"/>
  <c r="L10" i="6"/>
  <c r="M9" i="6"/>
  <c r="L9" i="6"/>
  <c r="M8" i="6"/>
  <c r="L8" i="6"/>
  <c r="M7" i="6"/>
  <c r="L7" i="6"/>
  <c r="M6" i="6"/>
  <c r="L6" i="6"/>
  <c r="M5" i="6"/>
  <c r="L5" i="6"/>
  <c r="J27" i="6"/>
  <c r="I27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J17" i="6"/>
  <c r="I17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7" i="6"/>
  <c r="I7" i="6"/>
  <c r="J6" i="6"/>
  <c r="I6" i="6"/>
  <c r="J5" i="6"/>
  <c r="I5" i="6"/>
  <c r="G27" i="6"/>
  <c r="F27" i="6"/>
  <c r="G25" i="6"/>
  <c r="F25" i="6"/>
  <c r="G24" i="6"/>
  <c r="F24" i="6"/>
  <c r="G23" i="6"/>
  <c r="F23" i="6"/>
  <c r="G22" i="6"/>
  <c r="F22" i="6"/>
  <c r="G21" i="6"/>
  <c r="F21" i="6"/>
  <c r="G20" i="6"/>
  <c r="F20" i="6"/>
  <c r="G19" i="6"/>
  <c r="F19" i="6"/>
  <c r="G18" i="6"/>
  <c r="F18" i="6"/>
  <c r="G17" i="6"/>
  <c r="F17" i="6"/>
  <c r="G14" i="6"/>
  <c r="F14" i="6"/>
  <c r="G13" i="6"/>
  <c r="F13" i="6"/>
  <c r="G12" i="6"/>
  <c r="F12" i="6"/>
  <c r="G11" i="6"/>
  <c r="F11" i="6"/>
  <c r="G10" i="6"/>
  <c r="F10" i="6"/>
  <c r="G9" i="6"/>
  <c r="F9" i="6"/>
  <c r="G8" i="6"/>
  <c r="F8" i="6"/>
  <c r="G7" i="6"/>
  <c r="F7" i="6"/>
  <c r="G6" i="6"/>
  <c r="F6" i="6"/>
  <c r="G5" i="6"/>
  <c r="F5" i="6"/>
  <c r="P6" i="3"/>
  <c r="P7" i="3"/>
  <c r="P8" i="3"/>
  <c r="P9" i="3"/>
  <c r="P10" i="3"/>
  <c r="P11" i="3"/>
  <c r="P12" i="3"/>
  <c r="P13" i="3"/>
  <c r="P14" i="3"/>
  <c r="P15" i="3"/>
  <c r="P16" i="3"/>
  <c r="P17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4" i="3"/>
  <c r="P46" i="3"/>
  <c r="P47" i="3"/>
  <c r="P48" i="3"/>
  <c r="P49" i="3"/>
  <c r="P52" i="3"/>
  <c r="P53" i="3"/>
  <c r="P54" i="3"/>
  <c r="P55" i="3"/>
  <c r="P56" i="3"/>
  <c r="P64" i="3"/>
  <c r="P65" i="3"/>
  <c r="P5" i="3"/>
  <c r="M64" i="3"/>
  <c r="M54" i="3"/>
  <c r="M55" i="3"/>
  <c r="M56" i="3"/>
  <c r="M65" i="3"/>
  <c r="M46" i="3"/>
  <c r="M47" i="3"/>
  <c r="M48" i="3"/>
  <c r="M49" i="3"/>
  <c r="M52" i="3"/>
  <c r="M53" i="3"/>
  <c r="M28" i="3"/>
  <c r="M29" i="3"/>
  <c r="M30" i="3"/>
  <c r="M31" i="3"/>
  <c r="M34" i="3"/>
  <c r="M6" i="3"/>
  <c r="M7" i="3"/>
  <c r="M8" i="3"/>
  <c r="M9" i="3"/>
  <c r="M10" i="3"/>
  <c r="M11" i="3"/>
  <c r="M12" i="3"/>
  <c r="M13" i="3"/>
  <c r="M14" i="3"/>
  <c r="M15" i="3"/>
  <c r="M16" i="3"/>
  <c r="M17" i="3"/>
  <c r="M19" i="3"/>
  <c r="M20" i="3"/>
  <c r="M21" i="3"/>
  <c r="M22" i="3"/>
  <c r="M23" i="3"/>
  <c r="M24" i="3"/>
  <c r="M25" i="3"/>
  <c r="M26" i="3"/>
  <c r="M27" i="3"/>
  <c r="M5" i="3"/>
  <c r="J64" i="3"/>
  <c r="J65" i="3"/>
  <c r="J46" i="3"/>
  <c r="J47" i="3"/>
  <c r="J48" i="3"/>
  <c r="J49" i="3"/>
  <c r="J52" i="3"/>
  <c r="J53" i="3"/>
  <c r="J54" i="3"/>
  <c r="J55" i="3"/>
  <c r="J56" i="3"/>
  <c r="J29" i="3"/>
  <c r="J30" i="3"/>
  <c r="J31" i="3"/>
  <c r="J34" i="3"/>
  <c r="J19" i="3"/>
  <c r="J20" i="3"/>
  <c r="J21" i="3"/>
  <c r="J22" i="3"/>
  <c r="J23" i="3"/>
  <c r="J24" i="3"/>
  <c r="J25" i="3"/>
  <c r="J26" i="3"/>
  <c r="J27" i="3"/>
  <c r="J28" i="3"/>
  <c r="J6" i="3"/>
  <c r="J7" i="3"/>
  <c r="J8" i="3"/>
  <c r="J9" i="3"/>
  <c r="J10" i="3"/>
  <c r="J11" i="3"/>
  <c r="J12" i="3"/>
  <c r="J13" i="3"/>
  <c r="J14" i="3"/>
  <c r="J15" i="3"/>
  <c r="J16" i="3"/>
  <c r="J17" i="3"/>
  <c r="J5" i="3"/>
  <c r="G6" i="3"/>
  <c r="G7" i="3"/>
  <c r="G8" i="3"/>
  <c r="G9" i="3"/>
  <c r="G10" i="3"/>
  <c r="G11" i="3"/>
  <c r="G12" i="3"/>
  <c r="G13" i="3"/>
  <c r="G14" i="3"/>
  <c r="G15" i="3"/>
  <c r="G16" i="3"/>
  <c r="G17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4" i="3"/>
  <c r="G46" i="3"/>
  <c r="G47" i="3"/>
  <c r="G48" i="3"/>
  <c r="G49" i="3"/>
  <c r="G52" i="3"/>
  <c r="G53" i="3"/>
  <c r="G54" i="3"/>
  <c r="G55" i="3"/>
  <c r="G56" i="3"/>
  <c r="G64" i="3"/>
  <c r="G65" i="3"/>
  <c r="G5" i="3"/>
  <c r="O30" i="6"/>
  <c r="L30" i="6"/>
  <c r="G30" i="6"/>
  <c r="G31" i="6"/>
  <c r="J30" i="6"/>
  <c r="J31" i="6"/>
  <c r="F30" i="6"/>
  <c r="H14" i="1"/>
  <c r="H33" i="1"/>
  <c r="H55" i="1"/>
  <c r="H63" i="1"/>
  <c r="G14" i="1"/>
  <c r="G33" i="1"/>
  <c r="G55" i="1"/>
  <c r="G63" i="1"/>
  <c r="F14" i="1"/>
  <c r="F33" i="1"/>
  <c r="F64" i="1"/>
  <c r="E14" i="1"/>
  <c r="E33" i="1"/>
  <c r="E64" i="1"/>
  <c r="D33" i="1"/>
  <c r="D55" i="1"/>
  <c r="D63" i="1"/>
  <c r="G64" i="1"/>
  <c r="H64" i="1"/>
  <c r="I30" i="6"/>
  <c r="P30" i="6"/>
  <c r="P31" i="6"/>
  <c r="M30" i="6"/>
  <c r="M31" i="6"/>
  <c r="O5" i="4"/>
  <c r="L5" i="4"/>
  <c r="I5" i="4"/>
  <c r="F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6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75" i="4"/>
  <c r="L76" i="4"/>
  <c r="L77" i="4"/>
  <c r="L78" i="4"/>
  <c r="L79" i="4"/>
  <c r="L80" i="4"/>
  <c r="L81" i="4"/>
  <c r="L82" i="4"/>
  <c r="L83" i="4"/>
  <c r="L84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6" i="4"/>
  <c r="I120" i="4"/>
  <c r="I121" i="4"/>
  <c r="I122" i="4"/>
  <c r="I123" i="4"/>
  <c r="I124" i="4"/>
  <c r="I125" i="4"/>
  <c r="I126" i="4"/>
  <c r="I127" i="4"/>
  <c r="I128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64" i="4"/>
  <c r="I65" i="4"/>
  <c r="I66" i="4"/>
  <c r="I67" i="4"/>
  <c r="I68" i="4"/>
  <c r="I69" i="4"/>
  <c r="I70" i="4"/>
  <c r="I75" i="4"/>
  <c r="I76" i="4"/>
  <c r="I77" i="4"/>
  <c r="I78" i="4"/>
  <c r="I79" i="4"/>
  <c r="I80" i="4"/>
  <c r="I81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7" i="4"/>
  <c r="I8" i="4"/>
  <c r="I9" i="4"/>
  <c r="I10" i="4"/>
  <c r="I11" i="4"/>
  <c r="I12" i="4"/>
  <c r="I6" i="4"/>
  <c r="F99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6" i="4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5" i="3"/>
  <c r="L56" i="3"/>
  <c r="L57" i="3"/>
  <c r="L58" i="3"/>
  <c r="L59" i="3"/>
  <c r="L60" i="3"/>
  <c r="L61" i="3"/>
  <c r="L62" i="3"/>
  <c r="L63" i="3"/>
  <c r="L64" i="3"/>
  <c r="L65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5" i="3"/>
  <c r="I5" i="3"/>
  <c r="I59" i="3"/>
  <c r="I60" i="3"/>
  <c r="I61" i="3"/>
  <c r="I62" i="3"/>
  <c r="I63" i="3"/>
  <c r="I64" i="3"/>
  <c r="I65" i="3"/>
  <c r="I47" i="3"/>
  <c r="I48" i="3"/>
  <c r="I49" i="3"/>
  <c r="I50" i="3"/>
  <c r="I51" i="3"/>
  <c r="I52" i="3"/>
  <c r="I53" i="3"/>
  <c r="I54" i="3"/>
  <c r="I55" i="3"/>
  <c r="I56" i="3"/>
  <c r="I57" i="3"/>
  <c r="I58" i="3"/>
  <c r="I36" i="3"/>
  <c r="I37" i="3"/>
  <c r="I38" i="3"/>
  <c r="I39" i="3"/>
  <c r="I40" i="3"/>
  <c r="I41" i="3"/>
  <c r="I42" i="3"/>
  <c r="I43" i="3"/>
  <c r="I44" i="3"/>
  <c r="I45" i="3"/>
  <c r="I46" i="3"/>
  <c r="I34" i="3"/>
  <c r="I30" i="3"/>
  <c r="I31" i="3"/>
  <c r="I32" i="3"/>
  <c r="I33" i="3"/>
  <c r="I3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5" i="3"/>
  <c r="U4" i="6"/>
  <c r="F55" i="1"/>
  <c r="F63" i="1"/>
  <c r="D64" i="1"/>
  <c r="E55" i="1"/>
  <c r="E63" i="1"/>
  <c r="F28" i="6"/>
  <c r="G28" i="6"/>
  <c r="I28" i="6"/>
  <c r="J28" i="6"/>
  <c r="E86" i="2"/>
  <c r="E73" i="2"/>
  <c r="E72" i="2"/>
  <c r="G86" i="2"/>
  <c r="G73" i="2"/>
  <c r="G72" i="2"/>
  <c r="H86" i="2"/>
  <c r="H73" i="2"/>
  <c r="H72" i="2"/>
  <c r="D86" i="2"/>
  <c r="D73" i="2"/>
  <c r="D72" i="2"/>
  <c r="F86" i="2"/>
  <c r="F73" i="2"/>
  <c r="F72" i="2"/>
</calcChain>
</file>

<file path=xl/sharedStrings.xml><?xml version="1.0" encoding="utf-8"?>
<sst xmlns="http://schemas.openxmlformats.org/spreadsheetml/2006/main" count="2730" uniqueCount="451">
  <si>
    <t>Označení</t>
  </si>
  <si>
    <t>I.</t>
  </si>
  <si>
    <t>Tržby za prodej zboží</t>
  </si>
  <si>
    <t>A.</t>
  </si>
  <si>
    <t>Náklady vynaložené na prodané zboží</t>
  </si>
  <si>
    <t>+</t>
  </si>
  <si>
    <t xml:space="preserve">Obchodní marže                   </t>
  </si>
  <si>
    <t>II.</t>
  </si>
  <si>
    <t xml:space="preserve">Výkony                          </t>
  </si>
  <si>
    <t>1.</t>
  </si>
  <si>
    <t>Tržby za prodej vlastních výrobků a služeb</t>
  </si>
  <si>
    <t>2.</t>
  </si>
  <si>
    <t>Změna stavu zásob vlastní činnosti</t>
  </si>
  <si>
    <t>3.</t>
  </si>
  <si>
    <t>Aktivace</t>
  </si>
  <si>
    <t>B.</t>
  </si>
  <si>
    <t xml:space="preserve">Výkonová spotřeba                 </t>
  </si>
  <si>
    <t>Spotřeba materiálu a energie</t>
  </si>
  <si>
    <t>Služby</t>
  </si>
  <si>
    <t xml:space="preserve">Přidaná hodnota                </t>
  </si>
  <si>
    <t>C.</t>
  </si>
  <si>
    <t xml:space="preserve">Osobní náklady                </t>
  </si>
  <si>
    <t>Mzdové náklady</t>
  </si>
  <si>
    <t>Odměny členům orgánů společnosti a družstva</t>
  </si>
  <si>
    <t>Náklady na sociální zabezpečení a zdravotní pojištění</t>
  </si>
  <si>
    <t>4.</t>
  </si>
  <si>
    <t>Sociální náklady</t>
  </si>
  <si>
    <t>D.</t>
  </si>
  <si>
    <t>Daně a poplatky</t>
  </si>
  <si>
    <t>E.</t>
  </si>
  <si>
    <t>Odpisy dlouhodobého nehmotného a hmotného majetku</t>
  </si>
  <si>
    <t>III.</t>
  </si>
  <si>
    <t>Tržby z prodeje dlouhodobého majetku a materiálu</t>
  </si>
  <si>
    <t>Tržby z prodeje dlouhodobého majetku</t>
  </si>
  <si>
    <t>Tržby z prodeje materiálu</t>
  </si>
  <si>
    <t>F.</t>
  </si>
  <si>
    <t>Zůstatková cena prodaného dlouhodobého majetku a materiálu</t>
  </si>
  <si>
    <t>Zůstatková cena prodaného dlouhodobého majetku</t>
  </si>
  <si>
    <t>Prodaný materiál</t>
  </si>
  <si>
    <t>G.</t>
  </si>
  <si>
    <t>Změna stavu rezerv a opravných položek v provozní oblasti a komplexních nákladů příštích období</t>
  </si>
  <si>
    <t>IV.</t>
  </si>
  <si>
    <t>Ostatní provozní výnosy</t>
  </si>
  <si>
    <t>H.</t>
  </si>
  <si>
    <t>Ostatní provozní náklady</t>
  </si>
  <si>
    <t>V.</t>
  </si>
  <si>
    <t>Převod provozních výnosů</t>
  </si>
  <si>
    <t>Převod provozních nákladů</t>
  </si>
  <si>
    <t>*</t>
  </si>
  <si>
    <t>Provozní výsledek hospodaření</t>
  </si>
  <si>
    <t>VI.</t>
  </si>
  <si>
    <t>Tržby z prodeje cenných papírů a podílů</t>
  </si>
  <si>
    <t>J.</t>
  </si>
  <si>
    <t>Prodané cenné papíry a podíly</t>
  </si>
  <si>
    <t>VII.</t>
  </si>
  <si>
    <t>Výnosy z dlouhodobého finančního majetku</t>
  </si>
  <si>
    <t>Výnosy z podílů ovládaných a řízených osobách a v účetních jednotkách pod podstatným vlivem</t>
  </si>
  <si>
    <t>Výnosy z ostatních dlouhodobých cenných papírů a podílů</t>
  </si>
  <si>
    <t>Výnosy z ostatního dlouhodobého finančního majetku</t>
  </si>
  <si>
    <t>VIII.</t>
  </si>
  <si>
    <t>Výnosy z krátkodobého finančního majetku</t>
  </si>
  <si>
    <t>K.</t>
  </si>
  <si>
    <t>Náklady z finančního majetku</t>
  </si>
  <si>
    <t>IX.</t>
  </si>
  <si>
    <t>Výnosy z přecenění cenných papírů a derivátů</t>
  </si>
  <si>
    <t>L.</t>
  </si>
  <si>
    <t>Náklady z přecenění cenných papírů a derivátů</t>
  </si>
  <si>
    <t>M.</t>
  </si>
  <si>
    <t>Změna stavu rezerv a opravných položek ve finanční oblasti</t>
  </si>
  <si>
    <t>X.</t>
  </si>
  <si>
    <t>Výnosové úroky</t>
  </si>
  <si>
    <t>N.</t>
  </si>
  <si>
    <t>Nákladové úroky</t>
  </si>
  <si>
    <t>XI.</t>
  </si>
  <si>
    <t>Ostatní finanční výnosy</t>
  </si>
  <si>
    <t>O.</t>
  </si>
  <si>
    <t>Ostatní finanční náklady</t>
  </si>
  <si>
    <t>XII.</t>
  </si>
  <si>
    <t>Převod finančních výnosů</t>
  </si>
  <si>
    <t>P.</t>
  </si>
  <si>
    <t>Převod finančních nákladů</t>
  </si>
  <si>
    <t>Finanční výsledek hospodaření</t>
  </si>
  <si>
    <t>Q.</t>
  </si>
  <si>
    <t xml:space="preserve">Daň z příjmů za běžnou činnost </t>
  </si>
  <si>
    <t>- splatná</t>
  </si>
  <si>
    <t>- odložená</t>
  </si>
  <si>
    <t>**</t>
  </si>
  <si>
    <t>Výsledek hospodaření za běžnou činnost</t>
  </si>
  <si>
    <t>XIII.</t>
  </si>
  <si>
    <t>Mimořádné výnosy</t>
  </si>
  <si>
    <t>R.</t>
  </si>
  <si>
    <t>Mimořádné náklady</t>
  </si>
  <si>
    <t>S.</t>
  </si>
  <si>
    <t xml:space="preserve">Daň z příjmů z mimořádné činnosti </t>
  </si>
  <si>
    <t xml:space="preserve">Mimořádný výsledek hospodaření  </t>
  </si>
  <si>
    <t>T.</t>
  </si>
  <si>
    <t>Převod podílu na výsledku hospodaření společníkům (+/-)</t>
  </si>
  <si>
    <t>***</t>
  </si>
  <si>
    <t>Výsledek hospodaření za účetní období (+/-)</t>
  </si>
  <si>
    <t>****</t>
  </si>
  <si>
    <t>Výsledek hospodaření před zdaněním</t>
  </si>
  <si>
    <t>AKTIVA</t>
  </si>
  <si>
    <t xml:space="preserve">AKTIVA CELKEM       </t>
  </si>
  <si>
    <t>Pohledávky za upsaný základní kapitál</t>
  </si>
  <si>
    <t xml:space="preserve">Dlouhodobý majetek </t>
  </si>
  <si>
    <t xml:space="preserve">Dlouhodobý nehmotný majetek      </t>
  </si>
  <si>
    <t>Zřizovací výdaje</t>
  </si>
  <si>
    <t>Nehmotné výsledky výzkumu a vývoje</t>
  </si>
  <si>
    <t>Software</t>
  </si>
  <si>
    <t>Ocenitelná práva</t>
  </si>
  <si>
    <t>5.</t>
  </si>
  <si>
    <t>Goodwill</t>
  </si>
  <si>
    <t>6.</t>
  </si>
  <si>
    <t>Jiný dlouhodobý nehmotný majetek</t>
  </si>
  <si>
    <t>7.</t>
  </si>
  <si>
    <t>Nedokončený dlouhodobý nehmotný majetek</t>
  </si>
  <si>
    <t>8.</t>
  </si>
  <si>
    <t>Poskytnuté zálohy na dlouhodobý nehmotný majetek</t>
  </si>
  <si>
    <t xml:space="preserve">Dlouhodobý hmotný majetek         </t>
  </si>
  <si>
    <t>Pozemky</t>
  </si>
  <si>
    <t>Stavby</t>
  </si>
  <si>
    <t>Samostatné movité věci a soubory movitých věcí</t>
  </si>
  <si>
    <t>Pěstitelské celky trvalých porostů</t>
  </si>
  <si>
    <t>Základní stádo a tažná zvířata</t>
  </si>
  <si>
    <t>Jiný dlouhodobý hmotný majetek</t>
  </si>
  <si>
    <t>Nedokončený dlouhodobý hmotný majetek</t>
  </si>
  <si>
    <t>Poskytnuté zálohy na dlouhodobý hmotný majetek</t>
  </si>
  <si>
    <t>9.</t>
  </si>
  <si>
    <t>Oceňovací rozdíl k nabytému majetku</t>
  </si>
  <si>
    <t xml:space="preserve">Dlouhodobý finanční majetek         </t>
  </si>
  <si>
    <t>Podíly v ovládaných a řízených osobách</t>
  </si>
  <si>
    <t>Podíly v účetních jednotkách pod podstatným vlivem</t>
  </si>
  <si>
    <t>Ostatní dlouhodobé cenné papíry a podíly</t>
  </si>
  <si>
    <t>Půjčky a úvěry - ovládající a řídící osoba, podstatný vliv</t>
  </si>
  <si>
    <t>Jiný dlouhodobý finanční majetek</t>
  </si>
  <si>
    <t>Pořizovaný dlouhodobý finanční majetek</t>
  </si>
  <si>
    <t>Poskytnuté zálohy na dlouhodobý finanční majetek</t>
  </si>
  <si>
    <t xml:space="preserve">Oběžná aktiva                    </t>
  </si>
  <si>
    <t xml:space="preserve">Zásoby                             </t>
  </si>
  <si>
    <t>Materiál</t>
  </si>
  <si>
    <t>Nedokončená výroba a polotovary</t>
  </si>
  <si>
    <t>Výrobky</t>
  </si>
  <si>
    <t>Zvířata</t>
  </si>
  <si>
    <t>Zboží</t>
  </si>
  <si>
    <t>Poskytnuté zálohy na zásoby</t>
  </si>
  <si>
    <t xml:space="preserve">Dlouhodobé pohledávky               </t>
  </si>
  <si>
    <t>Pohledávky z obchodních vztahů</t>
  </si>
  <si>
    <t>Pohledávky - ovládající a řídící osoba</t>
  </si>
  <si>
    <t>Pohledávky - podstatný vliv</t>
  </si>
  <si>
    <t>Pohledávky za společníky, členy družstva a za účastníky sdružení</t>
  </si>
  <si>
    <t>Dlouhodobé poskytnuté zálohy</t>
  </si>
  <si>
    <t>Dohadné účty aktivní</t>
  </si>
  <si>
    <t>Jiné pohledávky</t>
  </si>
  <si>
    <t>Odložená daňová pohledávka</t>
  </si>
  <si>
    <t xml:space="preserve">Krátkodobé pohledávky             </t>
  </si>
  <si>
    <t>Sociální zabezpečení a zdravotní pojištění</t>
  </si>
  <si>
    <t>Stát - daňové pohledávky</t>
  </si>
  <si>
    <t>Krátkodobé poskytnuté zálohy</t>
  </si>
  <si>
    <t xml:space="preserve">Krátkodobý finanční majetek   </t>
  </si>
  <si>
    <t>Peníze</t>
  </si>
  <si>
    <t>Účty v bankách</t>
  </si>
  <si>
    <t>Krátkodobé cenné papíry a podíly</t>
  </si>
  <si>
    <t>Pořizovaný krátkodobý finanční majetek</t>
  </si>
  <si>
    <r>
      <t>D.</t>
    </r>
    <r>
      <rPr>
        <sz val="11"/>
        <color theme="1"/>
        <rFont val="Calibri"/>
        <family val="2"/>
        <charset val="238"/>
        <scheme val="minor"/>
      </rPr>
      <t xml:space="preserve"> I.</t>
    </r>
  </si>
  <si>
    <t xml:space="preserve">Časové rozlišení    </t>
  </si>
  <si>
    <t>Náklady příštích období</t>
  </si>
  <si>
    <t>Komplexní náklady příštích období</t>
  </si>
  <si>
    <t>Příjmy příštích období</t>
  </si>
  <si>
    <t>PASIVA</t>
  </si>
  <si>
    <t xml:space="preserve">PASIVA CELKEM      </t>
  </si>
  <si>
    <t xml:space="preserve">Vlastní kapitál      </t>
  </si>
  <si>
    <t xml:space="preserve">Základní kapitál     </t>
  </si>
  <si>
    <t>Základní kapitál</t>
  </si>
  <si>
    <t>Vlastní akcie a vlastní obchodní podíly (-)</t>
  </si>
  <si>
    <t>Změny základního kapitálu</t>
  </si>
  <si>
    <t xml:space="preserve">Kapitálové fondy       </t>
  </si>
  <si>
    <t>Emisní ažio</t>
  </si>
  <si>
    <t>Ostatní kapitálové fondy</t>
  </si>
  <si>
    <t>Oceňovací rozdíly z přecenění majetku a závazků</t>
  </si>
  <si>
    <t>Oceňovací rozdíly z přecenění při přeměnách</t>
  </si>
  <si>
    <t>Rezervní fondy, nedělitelný fond a ostatní fondy ze zisku</t>
  </si>
  <si>
    <t>Zákonný rezervní fond/Nedělitelný fond</t>
  </si>
  <si>
    <t>Statutární a ostatní fondy</t>
  </si>
  <si>
    <t xml:space="preserve">Výsledek hospodaření minulých let </t>
  </si>
  <si>
    <t>Nerozdělený zisk minulých let</t>
  </si>
  <si>
    <t>Neuhrazená ztráta minulých let</t>
  </si>
  <si>
    <t>Výsledek hospodaření běžného účetního období (+/-)</t>
  </si>
  <si>
    <t xml:space="preserve">Cizí zdroje  </t>
  </si>
  <si>
    <t xml:space="preserve">Rezervy </t>
  </si>
  <si>
    <t>Rezervy podle zvláštních právních předpisů</t>
  </si>
  <si>
    <t>Rezerva na důchody a podobné závazky</t>
  </si>
  <si>
    <t>Rezerva na daň z příjmů</t>
  </si>
  <si>
    <t>Ostatní rezervy</t>
  </si>
  <si>
    <t xml:space="preserve">Dlouhodobé závazky   </t>
  </si>
  <si>
    <t>Závazky z obchodních vztahů</t>
  </si>
  <si>
    <t>Závazky - ovládající a řídící osoba</t>
  </si>
  <si>
    <t>Závazky - podstatný vliv</t>
  </si>
  <si>
    <t>Závazky ke společníkům, členům družstva a k účastníkům sdružení</t>
  </si>
  <si>
    <t>Dlouhodobé přijaté zálohy</t>
  </si>
  <si>
    <t>Vydané dluhopisy</t>
  </si>
  <si>
    <t>Dlouhodobé směnky k úhradě</t>
  </si>
  <si>
    <t>Dohadné účty pasivní</t>
  </si>
  <si>
    <t>Jiní závazky</t>
  </si>
  <si>
    <t>10.</t>
  </si>
  <si>
    <t>Odložený daňový závazek</t>
  </si>
  <si>
    <t xml:space="preserve">Krátkodobé závazky </t>
  </si>
  <si>
    <t>Závazky k zaměstnancům</t>
  </si>
  <si>
    <t>Závazky ze sociálního zabezpečení a zdravotního pojištění</t>
  </si>
  <si>
    <t>Stát - daňové závazky a dotace</t>
  </si>
  <si>
    <t>Krátkodobé přijaté zálohy</t>
  </si>
  <si>
    <t>11.</t>
  </si>
  <si>
    <t>Jiné závazky</t>
  </si>
  <si>
    <t xml:space="preserve">Bankovní úvěry a výpomoci </t>
  </si>
  <si>
    <t>Bankovní úvěry dlouhodobé</t>
  </si>
  <si>
    <t>Krátkodobé bankovní úvěry</t>
  </si>
  <si>
    <t>Krátkodobé finanční výpomoci</t>
  </si>
  <si>
    <t>C.  I.</t>
  </si>
  <si>
    <t xml:space="preserve">Časové rozlišení </t>
  </si>
  <si>
    <t>Výdaje příštích období</t>
  </si>
  <si>
    <t>Výnosy příštích období</t>
  </si>
  <si>
    <t>změna 2004 - 2003</t>
  </si>
  <si>
    <t>tis. Kč</t>
  </si>
  <si>
    <t>%</t>
  </si>
  <si>
    <t>změna 2003 - 2002</t>
  </si>
  <si>
    <t>změna 2005 - 2004</t>
  </si>
  <si>
    <t>změna 2006 - 2005</t>
  </si>
  <si>
    <t xml:space="preserve"> </t>
  </si>
  <si>
    <t xml:space="preserve"> -</t>
  </si>
  <si>
    <t>,</t>
  </si>
  <si>
    <t>Pomocné výpočty</t>
  </si>
  <si>
    <t>1. Nárůst VK</t>
  </si>
  <si>
    <t>2. Podíl VK na A 2002</t>
  </si>
  <si>
    <t>3. Podíl VK na A 2006</t>
  </si>
  <si>
    <t>4. Přvis KP nad KZ 2005</t>
  </si>
  <si>
    <t>5. Přvis KP nad KZ 2006</t>
  </si>
  <si>
    <t>6. Průměr KFM 2002 - 2006</t>
  </si>
  <si>
    <t>7. Průměr BÚD 2002 - 2006</t>
  </si>
  <si>
    <t>Agregované tržby</t>
  </si>
  <si>
    <t>1. Geometrický průměr</t>
  </si>
  <si>
    <t>2002 - 2003</t>
  </si>
  <si>
    <t>2003 - 2004</t>
  </si>
  <si>
    <t>2004 - 2005</t>
  </si>
  <si>
    <t>2005 - 2006</t>
  </si>
  <si>
    <t>Pomocná tabulka roky</t>
  </si>
  <si>
    <t>Vlastní zdroje financování</t>
  </si>
  <si>
    <t>2. Průměr vlastních zdrojů financování</t>
  </si>
  <si>
    <t>3. Nárůst tržeb za 2002 - 2005</t>
  </si>
  <si>
    <t>4. Pokles tržeb 2005 -2006</t>
  </si>
  <si>
    <t>5. Nárůst agregovaných tržeb 2002 - 2005</t>
  </si>
  <si>
    <t>6. Relativní nárůst agr.tržeb 2002 - 2005</t>
  </si>
  <si>
    <t>Položka</t>
  </si>
  <si>
    <t xml:space="preserve">PASIVA      </t>
  </si>
  <si>
    <t xml:space="preserve">PASIVA </t>
  </si>
  <si>
    <t>Oběžná aktiva</t>
  </si>
  <si>
    <t>Krátkodobé závazky</t>
  </si>
  <si>
    <t>Čistý pracovní kapitál</t>
  </si>
  <si>
    <t>ČPK</t>
  </si>
  <si>
    <t>AZ -TISK s.r.o.</t>
  </si>
  <si>
    <t xml:space="preserve">VZZ </t>
  </si>
  <si>
    <t xml:space="preserve">Rozvaha </t>
  </si>
  <si>
    <t>Podnik</t>
  </si>
  <si>
    <t>Kapitál</t>
  </si>
  <si>
    <t>A</t>
  </si>
  <si>
    <t>-</t>
  </si>
  <si>
    <t>B</t>
  </si>
  <si>
    <t>Úrok 5%</t>
  </si>
  <si>
    <t>Zisk před zdaněním</t>
  </si>
  <si>
    <t>Rentabilita vlastního kapitálu</t>
  </si>
  <si>
    <t>Vlastní kapitál</t>
  </si>
  <si>
    <t>Výnos kapitálu 10%</t>
  </si>
  <si>
    <t>Aktiva celkem</t>
  </si>
  <si>
    <t>EBIT</t>
  </si>
  <si>
    <t>Celková zadluženost</t>
  </si>
  <si>
    <t>Zadluženost vlastního kapitálu</t>
  </si>
  <si>
    <t>Finanční páka</t>
  </si>
  <si>
    <t>Cizí zdroje</t>
  </si>
  <si>
    <t xml:space="preserve">Tab. 6.15.1 Vliv použití cizích zdrojů na rentabilitu vlastního kapitálu </t>
  </si>
  <si>
    <t>Horizontální analýza - Výkaz zisku a ztráty AZ - TISK s.r.o. za období 2002 - 2006 (pracovní verze)</t>
  </si>
  <si>
    <t>Výbrané položky z horizontální analýzy - Výkaz zisku a ztráty AZ - TISK s.r.o. za období 2002 - 2006</t>
  </si>
  <si>
    <t>změna 2002 - 2003</t>
  </si>
  <si>
    <t>změna 2003 - 2004</t>
  </si>
  <si>
    <t>změna 2004 - 2005</t>
  </si>
  <si>
    <t>změna 2005 - 2006</t>
  </si>
  <si>
    <t>Horizontální analýza - AZ - TISK s.r.o. za období 2002 - 2006 (pracovní verze)</t>
  </si>
  <si>
    <t>Horizontální analýza - Rozvaha AZ - TISK s.r.o. za období 2002 - 2006</t>
  </si>
  <si>
    <t>Daň z příjmů za běžnou činnost - splatná</t>
  </si>
  <si>
    <t>Zásoby</t>
  </si>
  <si>
    <t>KFM</t>
  </si>
  <si>
    <t>KCZ</t>
  </si>
  <si>
    <t>Krátkodobé BÚ</t>
  </si>
  <si>
    <t>Struktura (%)</t>
  </si>
  <si>
    <t>VÝNOSY CELKEM</t>
  </si>
  <si>
    <t>(%)</t>
  </si>
  <si>
    <t xml:space="preserve">V Ý N O S Y </t>
  </si>
  <si>
    <t>N Á K L A D Y</t>
  </si>
  <si>
    <t>ROA</t>
  </si>
  <si>
    <t>ROE</t>
  </si>
  <si>
    <t>ROCE</t>
  </si>
  <si>
    <t>ROS</t>
  </si>
  <si>
    <t>ROC</t>
  </si>
  <si>
    <t>Dlouhodobé závazky</t>
  </si>
  <si>
    <t>Tržby</t>
  </si>
  <si>
    <t>Čistý zisk</t>
  </si>
  <si>
    <t>Celkové náklady</t>
  </si>
  <si>
    <t>Dlouhodobé bankovní úvěry</t>
  </si>
  <si>
    <t>Dlouhodobé dluhy</t>
  </si>
  <si>
    <t>Doba obratu aktiv</t>
  </si>
  <si>
    <t>Obrat aktiv</t>
  </si>
  <si>
    <t>Doba obratu zásob</t>
  </si>
  <si>
    <t>Obrat zásob</t>
  </si>
  <si>
    <t>Doba obratu pohledávek</t>
  </si>
  <si>
    <t>Obrat pohledávek</t>
  </si>
  <si>
    <t>Doba obratu závazků</t>
  </si>
  <si>
    <t>Obrat závazků</t>
  </si>
  <si>
    <t>Pohledávky krátkodobé</t>
  </si>
  <si>
    <t>Krátkodobé dluhy</t>
  </si>
  <si>
    <t>Průměrný stav aktiv</t>
  </si>
  <si>
    <t>Průměrný stav zásob</t>
  </si>
  <si>
    <t>Průměrný stav pohledávek</t>
  </si>
  <si>
    <t>Průměrný stav dluhů</t>
  </si>
  <si>
    <t>Denní tržby</t>
  </si>
  <si>
    <t>Vývoj struktury agregovaných tržeb</t>
  </si>
  <si>
    <t>Vývoj struktury agregovaných nákladů</t>
  </si>
  <si>
    <t>Agregované náklady</t>
  </si>
  <si>
    <t>Pomocné výpočty:</t>
  </si>
  <si>
    <t>Celková aktiva:</t>
  </si>
  <si>
    <t>Nárůst vybraných položek za celé období v %:</t>
  </si>
  <si>
    <t>Dlouhodobý majetek:</t>
  </si>
  <si>
    <t>Oběžná aktiva:</t>
  </si>
  <si>
    <t>Zásoby:</t>
  </si>
  <si>
    <t>Pohledávky:</t>
  </si>
  <si>
    <t xml:space="preserve"> NÁKLADY CELKEM</t>
  </si>
  <si>
    <t>Nárůst tržeb 2002 - 2006:</t>
  </si>
  <si>
    <t>Nárůst os. nákl. 2002 - 2006:</t>
  </si>
  <si>
    <t>Dlouhodobé pohledávky</t>
  </si>
  <si>
    <t>Krátkodobé pohledávky</t>
  </si>
  <si>
    <t>Krátkodobý finanční majetek</t>
  </si>
  <si>
    <t>Pomocná tabulka</t>
  </si>
  <si>
    <t>Obr. 6.9.1 Vývoj čistého pracovního kapitálu AZ – TISK, s.r.o. v letech 2002 – 2006 (v tis. Kč)</t>
  </si>
  <si>
    <t>Pomocný výpočet:</t>
  </si>
  <si>
    <t>Nedokončená výroba a pol.</t>
  </si>
  <si>
    <t>Zásoby celkem</t>
  </si>
  <si>
    <t>Průměrný podíl materiálů na zásobách:</t>
  </si>
  <si>
    <t>Celková likvidita (1,5 - 2,5)</t>
  </si>
  <si>
    <t>Pohotová likvidita (1,1 - 1,5)</t>
  </si>
  <si>
    <t>Okamžitá likvidita (0,3 - 0,9)</t>
  </si>
  <si>
    <t>Relativní nárůst DOZ 2002 - 2006:</t>
  </si>
  <si>
    <t>Rok</t>
  </si>
  <si>
    <t>Dlouhodobá aktiva (DA)</t>
  </si>
  <si>
    <t>Krátkodobá pasiva (KP)</t>
  </si>
  <si>
    <t>Krátkodobá aktiva (KA)</t>
  </si>
  <si>
    <t>Dlouhodobá pasiva (DP)</t>
  </si>
  <si>
    <t>Dlouhodobé bank. úvěry</t>
  </si>
  <si>
    <t>Rezervy</t>
  </si>
  <si>
    <t>Krátkodobé bank. úvěry</t>
  </si>
  <si>
    <t>Dlouhodobý majetek</t>
  </si>
  <si>
    <t>Krátkodobý fin. majetek</t>
  </si>
  <si>
    <t>Pari pravidlo</t>
  </si>
  <si>
    <t>Dlouhodobé cizí zdroje</t>
  </si>
  <si>
    <t>Časové rozlišení (pasiva)</t>
  </si>
  <si>
    <t>Časové rozlišení (aktiva)</t>
  </si>
  <si>
    <t>Pravidlo vyrovnání rizika</t>
  </si>
  <si>
    <t>Pravidlo solventnosti</t>
  </si>
  <si>
    <t>ANO</t>
  </si>
  <si>
    <t>Tab. 6.19.1 Zlaté pravidlo financování AZ – TISK, s.r.o. v letech 2002 – 2006 (tis. Kč, %)</t>
  </si>
  <si>
    <t>Tab. 6.19.2 Pari pravidlo AZ – TISK, s.r.o. v letech 2002 – 2006 (tis. Kč, %)</t>
  </si>
  <si>
    <t>Tab. 6.19.3 Pravidlo vyrovnání rizika AZ – TISK, s.r.o. v letech 2002 – 2006 (tis. Kč, %)</t>
  </si>
  <si>
    <t>Relativní nárůst DOP 2002 - 2006:</t>
  </si>
  <si>
    <t>Relativní pokles DOZav 2002 - 2006:</t>
  </si>
  <si>
    <t>Činitel A</t>
  </si>
  <si>
    <t>Činitel B</t>
  </si>
  <si>
    <t>T</t>
  </si>
  <si>
    <t>Činitel C</t>
  </si>
  <si>
    <t>VK</t>
  </si>
  <si>
    <t>Činitel D</t>
  </si>
  <si>
    <t>Činitel E</t>
  </si>
  <si>
    <t>Z - score</t>
  </si>
  <si>
    <t>Kumulovaný zisk</t>
  </si>
  <si>
    <t>Nerozdělený zisk</t>
  </si>
  <si>
    <t>Celkové dluhy</t>
  </si>
  <si>
    <t>Zákonný rez.fond</t>
  </si>
  <si>
    <t>Rezevy</t>
  </si>
  <si>
    <t>Zisk účet. období</t>
  </si>
  <si>
    <t>KZ</t>
  </si>
  <si>
    <t>EAT</t>
  </si>
  <si>
    <t>EBT</t>
  </si>
  <si>
    <t>Daňová redukce zisku</t>
  </si>
  <si>
    <t>Úroková redukce zisku</t>
  </si>
  <si>
    <t>Provozní rentabilita</t>
  </si>
  <si>
    <t>Aritmetický průměr celkové zadluženosti:</t>
  </si>
  <si>
    <t>Aritmetický průměr zadluženosti VK:</t>
  </si>
  <si>
    <t>Tab. 6.1.1 Vývoj majetkové struktury AZ – TISK, s.r.o. 2002 – 2006 (tis. Kč)</t>
  </si>
  <si>
    <t>Tab. 6.1.2 Absolutní a relativní změny majetkové struktury AZ – TISK, s.r.o. 2002 – 2006 (tis. Kč, %)</t>
  </si>
  <si>
    <t>Tab. 6.1.3 Vývoj kapitálové struktury AZ – TISK, s.r.o. 2002 – 2006 (tis. Kč)</t>
  </si>
  <si>
    <t>Tab. 6.1.4 Absolutní a relativní změny kapitálové struktury AZ – TISK, s.r.o. 2002 – 2006 (tis. Kč, %)</t>
  </si>
  <si>
    <t>Obr. 6.1.1. Podíl vlastního kapitálu na aktivech společnosti AZ – TISK, s.r.o. v letech 2002 – 2006 (v tis. Kč)</t>
  </si>
  <si>
    <t>Obr. 6.1.2 Vývoj krátkodobých pohledávek, závazků a krátkodobého finančního majetku společnosti AZ – TISK, s.r.o. v letech 2002 – 2006 (v tis. Kč)</t>
  </si>
  <si>
    <t>Obr. 6.1.3. Vývoj bankovních úvěrů společnosti AZ – TISK, s.r.o. v letech 2002 – 2006 (v tis. Kč)</t>
  </si>
  <si>
    <t>Tab. 6.3.1 Vývoj vybraných položek VZZ AZ – TISK s r.o. 2002 – 2006 (v tis. Kč)</t>
  </si>
  <si>
    <t>Tab. 6.3.2 Absolutní a relativní změny vybraných položek VZZ AZ – TISK, s.r.o. 2002 – 2006 (tis. Kč, %)</t>
  </si>
  <si>
    <t>Obr. 6.3.1. Vývoj tržeb AZ – TISK, s.r.o. v letech 2002 – 2006 (v tis. Kč)</t>
  </si>
  <si>
    <t>Obr. 6.3.2. Vývoj agregovaných tržeb AZ – TISK, s.r.o. v letech 2002 – 2006 (v tis. Kč)</t>
  </si>
  <si>
    <t>Obr. 6.3.3 Tempo růstu vybraných položek VZZ AZ – TISK, s.r.o. v letech 2002 – 2006 (%)</t>
  </si>
  <si>
    <t>Obr. 6.3.4. Vývoj vlastních zdrojů financování AZ – TISK, s.r.o. v letech 2002 – 2006 (v tis. Kč)</t>
  </si>
  <si>
    <t>Tab. 6.5.1 Vertikální analýza majetkové struktury AZ – TISK, s.r.o. 2002 – 2006 (tis. Kč, %)</t>
  </si>
  <si>
    <t>Obr. 6.5.1 Vývoj majetkové struktury AZ – TISK, s.r.o. v letech 2002 – 2006 (%)</t>
  </si>
  <si>
    <t>Obr. 6.5.2 Vývoj finanční struktury AZ – TISK, s.r.o. v letech 2002 – 2006 (%)</t>
  </si>
  <si>
    <t>Tab. 6.7.1 Vertikální analýza výnosů AZ – TISK, s.r.o. 2002 – 2006 (tis. Kč, %)</t>
  </si>
  <si>
    <t>Tab. 6.7.2 Vývoj struktury agregovaných tržeb AZ – TISK, s.r.o. 2002 – 2006 (tis. Kč, %)</t>
  </si>
  <si>
    <t>Obr. 6.7.1 Vývoj struktury agregovaných tržeb AZ – TISK, s.r.o. v letech 2002 – 2006 (%)</t>
  </si>
  <si>
    <t>Tab. 6.7.2 Vertikální analýza nákladů AZ – TISK, s.r.o. 2002 – 2006 (tis. Kč)</t>
  </si>
  <si>
    <t>Obr. 6.7.2 Vývoj vybraných nákladových položek AZ – TISK, s.r.o. v letech 2002 – 2006 (%)</t>
  </si>
  <si>
    <t>Tab. 6.9.1 ČPK a komponenty pro jeho výpočet AZ – TISK, s.r.o. 2002 – 2006 (tis. Kč)</t>
  </si>
  <si>
    <t xml:space="preserve">Tab. 6.9.2 Absolutní a relativní změny ČPK AZ – TISK, s.r.o. 2002 – 2006 </t>
  </si>
  <si>
    <t>Tab. 6.9.2 Vývoj struktury oběžných aktiv AZ – TISK, s.r.o. v letech 2002 – 2006 (tis. Kč, %)</t>
  </si>
  <si>
    <t>Obr. 6.9.2 Vývoj struktury oběžných aktiv AZ – TISK, s.r.o. v letech 2002 – 2006 (%)</t>
  </si>
  <si>
    <t>Tab. 6.9.3 Vývoj struktury zásob AZ – TISK, s.r.o. v letech 2002 – 2006 (tis. Kč, %)</t>
  </si>
  <si>
    <t>Obr. 6.9.3 Vývoj struktury zásob AZ – TISK, s.r.o. v letech 2002 – 2006 (%)</t>
  </si>
  <si>
    <t>Tab. 6.11.1 Ukazatele aktivity a komponenty pro jejich výpočet AZ – TISK, s.r.o. v letech 2002 – 2006 (tis. Kč, bezrozměrné číslo, dny)</t>
  </si>
  <si>
    <t>Obr. 6.11.1 Doba obratu aktiv a zásob AZ – TISK, s.r.o. v letech 2002 – 2006 (dny)</t>
  </si>
  <si>
    <t>Obr. 6.11.2 Doba obratu pohledávek a závazků AZ – TISK, s.r.o. v letech 2002 – 2006 (dny)</t>
  </si>
  <si>
    <t>Tab. 6.13.1 Ukazatele rentability (%) a komponenty (tis. Kč) pro jejich výpočet AZ – TISK s.r.o. 2002 - 2006</t>
  </si>
  <si>
    <t>Obr. 6.13.1 Vývoj ukazatelů ROA, ROE, ROCE podniku AZ – TISK, s.r.o. v letech 2002 – 2006 (%)</t>
  </si>
  <si>
    <t>Tab. 6.13.2 Relativní nárůsty vybraných položek AZ – TISK s.r.o. za období 2002 - 2006</t>
  </si>
  <si>
    <t>Obr. 6.13.2 Vývoj vybraných kategorií zisku AZ – TISK, s.r.o. v letech 2002 – 2006 (tis. Kč)</t>
  </si>
  <si>
    <t>Obr. 6.13.3 Vývoj položek aktiv a pasiv AZ – TISK, s.r.o. v letech 2002 – 2006 (tis. Kč)</t>
  </si>
  <si>
    <t>Obr. 6.13.4 Vývoj ROS a ROC podniku AZ – TISK, s.r.o. v letech 2002 – 2006 (%)</t>
  </si>
  <si>
    <t>Obr. 6.13.5 Vývoj tržeb a celkových nákladů AZ – TISK, s.r.o. v letech 2002 – 2006 (tis. Kč)</t>
  </si>
  <si>
    <t>Pomocná tabulka výpočtu EBIT</t>
  </si>
  <si>
    <t>Obr. 6.15.1 Vývoj celkové zadluženosti a zadluženosti vlastního kapitálu AZ – TISK, s.r.o. v letech 2002 – 2006 (%)</t>
  </si>
  <si>
    <t>Tab. 6.15.2 Ukazatele zadluženosti (%) AZ – TISK s.r.o. 2002 - 2006</t>
  </si>
  <si>
    <t>Úrokové krytí (poměrové číslo)</t>
  </si>
  <si>
    <t>Obr. 6.15.2 Vývoj ukazatele úrokového krytí AZ – TISK, s.r.o. v letech 2002 – 2006 (poměrové číslo)</t>
  </si>
  <si>
    <t>Obr. 6.15.3 Vývoj ukazatele finanční páky AZ – TISK, s.r.o. v letech 2002 – 2006 (%)</t>
  </si>
  <si>
    <t xml:space="preserve">Obr. 6.15.4 Vývoj rentability vlastního kapitálu AZ – TISK, s.r.o. v letech 2002 – 2006 </t>
  </si>
  <si>
    <t>Tab. 6.17.1 Ukazatele likvidity AZ – TISK s.r.o. 2002 - 2006</t>
  </si>
  <si>
    <t>Obr. 6.17.1 Vývoj ukazatelů likvidity AZ – TISK, s.r.o. v letech 2002 – 2006 (poměrové číslo)</t>
  </si>
  <si>
    <t>DP / DA (%)</t>
  </si>
  <si>
    <t>KP / KA (%)</t>
  </si>
  <si>
    <t xml:space="preserve">Obr. 6.19.1 Vývoj ukazatelů Zlatého pravidla financování AZ – TISK, s.r.o. v letech 2002 – 2006 </t>
  </si>
  <si>
    <t>Obr. 6.19.2 Dodržování Pari pravidla AZ – TISK, s.r.o. v letech 2002 – 2006</t>
  </si>
  <si>
    <t>Obr. 6.19.3 Dodržování Pravidla vyrovnání rizika AZ – TISK, s.r.o. v letech 2002 – 2006</t>
  </si>
  <si>
    <t>Tab. 6.19.4 Pravidlo solventnosti AZ – TISK, s.r.o. v letech 2002 – 2006 (dny)</t>
  </si>
  <si>
    <t>Tab. 6.21.1 Rozklad ROE společnosti AZ – TISK s.r.o. 2002 - 2006</t>
  </si>
  <si>
    <t xml:space="preserve">Obr. 6.21.1 Rozklad ROE společnosti AZ – TISK, s.r.o. v letech 2002 – 2006 </t>
  </si>
  <si>
    <t>Tab. 6.21.1 Altmanův model pro společnost AZ – TISK s.r.o. 2002 - 2006</t>
  </si>
  <si>
    <t>Tab. 6.21.2 Komponenty pro Altmanův model společnosti AZ – TISK s.r.o. 2002 - 2006</t>
  </si>
  <si>
    <t>Tab. 6.21.3 Z-skore a podíl činitelů na jeho tvorbě pro AZ – TISK s.r.o. 2002 - 2006</t>
  </si>
  <si>
    <t xml:space="preserve">Obr. 6.23.1 Altmanův model pro společnost AZ – TISK, s.r.o. v letech 2002 – 2006 </t>
  </si>
  <si>
    <t>Nárůst ČPK 2002 - 2006 (%)</t>
  </si>
  <si>
    <t>Tab. 6.5.2 Vertikální analýza finanční struktury AZ – TISK, s.r.o. 2002 – 2006 (tis. Kč,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</si>
</sst>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0.0"/>
    <numFmt numFmtId="166" formatCode="#,##0.0"/>
    <numFmt numFmtId="167" formatCode="0.0%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39970091860713525"/>
      </patternFill>
    </fill>
    <fill>
      <patternFill patternType="solid">
        <fgColor rgb="FFC6D9F1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0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0" fillId="0" borderId="3" xfId="0" applyBorder="1" applyAlignment="1">
      <alignment horizontal="center"/>
    </xf>
    <xf numFmtId="3" fontId="0" fillId="0" borderId="0" xfId="0" applyNumberFormat="1"/>
    <xf numFmtId="3" fontId="0" fillId="0" borderId="4" xfId="0" applyNumberFormat="1" applyBorder="1" applyAlignment="1">
      <alignment horizontal="right" vertical="top"/>
    </xf>
    <xf numFmtId="3" fontId="1" fillId="0" borderId="4" xfId="0" applyNumberFormat="1" applyFont="1" applyBorder="1" applyAlignment="1">
      <alignment horizontal="right" vertical="top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1" fillId="0" borderId="3" xfId="0" applyFont="1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vertical="top"/>
    </xf>
    <xf numFmtId="0" fontId="0" fillId="0" borderId="4" xfId="0" applyBorder="1"/>
    <xf numFmtId="0" fontId="0" fillId="0" borderId="4" xfId="0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4" xfId="0" applyFont="1" applyBorder="1"/>
    <xf numFmtId="3" fontId="0" fillId="0" borderId="4" xfId="0" applyNumberForma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3" fontId="0" fillId="2" borderId="4" xfId="0" applyNumberFormat="1" applyFill="1" applyBorder="1" applyAlignment="1">
      <alignment horizontal="right" vertical="top"/>
    </xf>
    <xf numFmtId="4" fontId="0" fillId="2" borderId="4" xfId="0" applyNumberFormat="1" applyFill="1" applyBorder="1" applyAlignment="1">
      <alignment horizontal="right" vertical="top"/>
    </xf>
    <xf numFmtId="4" fontId="0" fillId="2" borderId="4" xfId="0" applyNumberFormat="1" applyFont="1" applyFill="1" applyBorder="1" applyAlignment="1">
      <alignment horizontal="right" vertical="top"/>
    </xf>
    <xf numFmtId="3" fontId="1" fillId="2" borderId="4" xfId="0" applyNumberFormat="1" applyFont="1" applyFill="1" applyBorder="1" applyAlignment="1">
      <alignment horizontal="right" vertical="top"/>
    </xf>
    <xf numFmtId="0" fontId="0" fillId="3" borderId="0" xfId="0" applyFill="1" applyBorder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right"/>
    </xf>
    <xf numFmtId="3" fontId="0" fillId="3" borderId="0" xfId="0" applyNumberFormat="1" applyFill="1" applyBorder="1" applyAlignment="1">
      <alignment horizontal="right" vertical="top"/>
    </xf>
    <xf numFmtId="4" fontId="0" fillId="3" borderId="0" xfId="0" applyNumberFormat="1" applyFill="1" applyBorder="1" applyAlignment="1">
      <alignment horizontal="right" vertical="top"/>
    </xf>
    <xf numFmtId="4" fontId="0" fillId="3" borderId="0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/>
    </xf>
    <xf numFmtId="3" fontId="0" fillId="2" borderId="2" xfId="0" applyNumberFormat="1" applyFill="1" applyBorder="1" applyAlignment="1">
      <alignment horizontal="right" vertical="top"/>
    </xf>
    <xf numFmtId="0" fontId="0" fillId="3" borderId="4" xfId="0" applyFill="1" applyBorder="1"/>
    <xf numFmtId="0" fontId="3" fillId="0" borderId="1" xfId="0" applyFont="1" applyBorder="1" applyAlignment="1">
      <alignment horizontal="center"/>
    </xf>
    <xf numFmtId="0" fontId="4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/>
    <xf numFmtId="0" fontId="3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vertical="top"/>
    </xf>
    <xf numFmtId="3" fontId="4" fillId="0" borderId="4" xfId="0" applyNumberFormat="1" applyFont="1" applyBorder="1" applyAlignment="1">
      <alignment horizontal="right" vertical="top"/>
    </xf>
    <xf numFmtId="3" fontId="4" fillId="2" borderId="4" xfId="0" applyNumberFormat="1" applyFont="1" applyFill="1" applyBorder="1" applyAlignment="1">
      <alignment horizontal="right" vertical="top"/>
    </xf>
    <xf numFmtId="3" fontId="3" fillId="0" borderId="4" xfId="0" applyNumberFormat="1" applyFont="1" applyBorder="1" applyAlignment="1">
      <alignment horizontal="right" vertical="top"/>
    </xf>
    <xf numFmtId="3" fontId="3" fillId="2" borderId="4" xfId="0" applyNumberFormat="1" applyFont="1" applyFill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right" vertical="top"/>
    </xf>
    <xf numFmtId="0" fontId="5" fillId="3" borderId="4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0" fontId="3" fillId="3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vertical="top"/>
    </xf>
    <xf numFmtId="0" fontId="1" fillId="3" borderId="4" xfId="0" applyFont="1" applyFill="1" applyBorder="1"/>
    <xf numFmtId="0" fontId="2" fillId="3" borderId="4" xfId="0" applyFont="1" applyFill="1" applyBorder="1"/>
    <xf numFmtId="10" fontId="0" fillId="0" borderId="0" xfId="0" applyNumberFormat="1"/>
    <xf numFmtId="0" fontId="1" fillId="2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>
      <alignment vertical="top"/>
    </xf>
    <xf numFmtId="3" fontId="3" fillId="0" borderId="0" xfId="0" applyNumberFormat="1" applyFont="1" applyBorder="1" applyAlignment="1">
      <alignment horizontal="right" vertical="top"/>
    </xf>
    <xf numFmtId="3" fontId="3" fillId="3" borderId="0" xfId="0" applyNumberFormat="1" applyFont="1" applyFill="1" applyBorder="1" applyAlignment="1">
      <alignment horizontal="right" vertical="top"/>
    </xf>
    <xf numFmtId="4" fontId="4" fillId="3" borderId="0" xfId="0" applyNumberFormat="1" applyFont="1" applyFill="1" applyBorder="1" applyAlignment="1">
      <alignment horizontal="right" vertical="top"/>
    </xf>
    <xf numFmtId="0" fontId="3" fillId="3" borderId="0" xfId="0" applyFont="1" applyFill="1" applyBorder="1" applyAlignment="1">
      <alignment horizontal="right" vertical="top"/>
    </xf>
    <xf numFmtId="3" fontId="3" fillId="0" borderId="2" xfId="0" applyNumberFormat="1" applyFont="1" applyBorder="1" applyAlignment="1">
      <alignment horizontal="right" vertical="top"/>
    </xf>
    <xf numFmtId="3" fontId="3" fillId="2" borderId="2" xfId="0" applyNumberFormat="1" applyFont="1" applyFill="1" applyBorder="1" applyAlignment="1">
      <alignment horizontal="right" vertical="top"/>
    </xf>
    <xf numFmtId="0" fontId="3" fillId="0" borderId="2" xfId="0" applyFont="1" applyBorder="1" applyAlignment="1">
      <alignment horizontal="right" vertical="top"/>
    </xf>
    <xf numFmtId="0" fontId="0" fillId="3" borderId="0" xfId="0" applyFill="1"/>
    <xf numFmtId="3" fontId="0" fillId="3" borderId="0" xfId="0" applyNumberFormat="1" applyFill="1"/>
    <xf numFmtId="0" fontId="0" fillId="3" borderId="8" xfId="0" applyFill="1" applyBorder="1"/>
    <xf numFmtId="3" fontId="0" fillId="3" borderId="8" xfId="0" applyNumberFormat="1" applyFill="1" applyBorder="1"/>
    <xf numFmtId="3" fontId="3" fillId="2" borderId="8" xfId="0" applyNumberFormat="1" applyFont="1" applyFill="1" applyBorder="1" applyAlignment="1">
      <alignment horizontal="right" vertical="top"/>
    </xf>
    <xf numFmtId="4" fontId="4" fillId="2" borderId="8" xfId="0" applyNumberFormat="1" applyFont="1" applyFill="1" applyBorder="1" applyAlignment="1">
      <alignment horizontal="right" vertical="top"/>
    </xf>
    <xf numFmtId="0" fontId="3" fillId="3" borderId="0" xfId="0" applyFont="1" applyFill="1" applyBorder="1" applyAlignment="1">
      <alignment horizontal="left"/>
    </xf>
    <xf numFmtId="164" fontId="0" fillId="3" borderId="0" xfId="0" applyNumberFormat="1" applyFill="1"/>
    <xf numFmtId="0" fontId="0" fillId="0" borderId="8" xfId="0" applyBorder="1"/>
    <xf numFmtId="0" fontId="4" fillId="3" borderId="11" xfId="0" applyFont="1" applyFill="1" applyBorder="1" applyAlignment="1">
      <alignment vertical="top"/>
    </xf>
    <xf numFmtId="0" fontId="5" fillId="3" borderId="11" xfId="0" applyFont="1" applyFill="1" applyBorder="1" applyAlignment="1">
      <alignment vertical="top"/>
    </xf>
    <xf numFmtId="0" fontId="3" fillId="3" borderId="11" xfId="0" applyFont="1" applyFill="1" applyBorder="1" applyAlignment="1">
      <alignment vertical="top"/>
    </xf>
    <xf numFmtId="0" fontId="3" fillId="3" borderId="12" xfId="0" applyFont="1" applyFill="1" applyBorder="1" applyAlignment="1">
      <alignment vertical="top"/>
    </xf>
    <xf numFmtId="0" fontId="0" fillId="0" borderId="13" xfId="0" applyBorder="1"/>
    <xf numFmtId="0" fontId="0" fillId="2" borderId="14" xfId="0" applyFill="1" applyBorder="1"/>
    <xf numFmtId="165" fontId="0" fillId="2" borderId="14" xfId="0" applyNumberFormat="1" applyFill="1" applyBorder="1"/>
    <xf numFmtId="165" fontId="0" fillId="2" borderId="16" xfId="0" applyNumberFormat="1" applyFill="1" applyBorder="1"/>
    <xf numFmtId="3" fontId="0" fillId="0" borderId="13" xfId="0" applyNumberFormat="1" applyBorder="1"/>
    <xf numFmtId="3" fontId="0" fillId="0" borderId="15" xfId="0" applyNumberFormat="1" applyBorder="1"/>
    <xf numFmtId="0" fontId="1" fillId="0" borderId="8" xfId="0" applyFont="1" applyBorder="1"/>
    <xf numFmtId="0" fontId="1" fillId="3" borderId="8" xfId="0" applyFont="1" applyFill="1" applyBorder="1"/>
    <xf numFmtId="0" fontId="0" fillId="0" borderId="8" xfId="0" applyBorder="1" applyAlignment="1">
      <alignment horizontal="center"/>
    </xf>
    <xf numFmtId="0" fontId="2" fillId="3" borderId="8" xfId="0" applyFont="1" applyFill="1" applyBorder="1"/>
    <xf numFmtId="0" fontId="0" fillId="2" borderId="8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22" xfId="0" applyFill="1" applyBorder="1"/>
    <xf numFmtId="3" fontId="0" fillId="0" borderId="22" xfId="0" applyNumberFormat="1" applyBorder="1"/>
    <xf numFmtId="0" fontId="2" fillId="3" borderId="22" xfId="0" applyFont="1" applyFill="1" applyBorder="1"/>
    <xf numFmtId="3" fontId="1" fillId="0" borderId="8" xfId="0" applyNumberFormat="1" applyFon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" fillId="3" borderId="0" xfId="0" applyFont="1" applyFill="1" applyBorder="1"/>
    <xf numFmtId="3" fontId="1" fillId="0" borderId="0" xfId="0" applyNumberFormat="1" applyFont="1" applyBorder="1" applyAlignment="1">
      <alignment horizontal="right"/>
    </xf>
    <xf numFmtId="0" fontId="0" fillId="0" borderId="0" xfId="0" applyBorder="1"/>
    <xf numFmtId="3" fontId="0" fillId="3" borderId="0" xfId="0" applyNumberFormat="1" applyFill="1" applyBorder="1"/>
    <xf numFmtId="166" fontId="0" fillId="3" borderId="0" xfId="0" applyNumberFormat="1" applyFill="1" applyBorder="1"/>
    <xf numFmtId="0" fontId="0" fillId="0" borderId="15" xfId="0" applyBorder="1"/>
    <xf numFmtId="0" fontId="0" fillId="0" borderId="19" xfId="0" applyFont="1" applyBorder="1"/>
    <xf numFmtId="0" fontId="0" fillId="0" borderId="20" xfId="0" applyFont="1" applyBorder="1"/>
    <xf numFmtId="0" fontId="0" fillId="0" borderId="21" xfId="0" applyFont="1" applyBorder="1"/>
    <xf numFmtId="0" fontId="0" fillId="0" borderId="13" xfId="0" applyFont="1" applyBorder="1"/>
    <xf numFmtId="3" fontId="0" fillId="0" borderId="8" xfId="0" applyNumberFormat="1" applyFont="1" applyBorder="1" applyAlignment="1">
      <alignment horizontal="right"/>
    </xf>
    <xf numFmtId="3" fontId="0" fillId="0" borderId="14" xfId="0" applyNumberFormat="1" applyFont="1" applyBorder="1" applyAlignment="1">
      <alignment horizontal="right"/>
    </xf>
    <xf numFmtId="0" fontId="0" fillId="0" borderId="15" xfId="0" applyFont="1" applyBorder="1"/>
    <xf numFmtId="3" fontId="0" fillId="0" borderId="22" xfId="0" applyNumberFormat="1" applyFont="1" applyBorder="1"/>
    <xf numFmtId="3" fontId="0" fillId="0" borderId="1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vertical="top"/>
    </xf>
    <xf numFmtId="3" fontId="0" fillId="3" borderId="4" xfId="0" applyNumberFormat="1" applyFill="1" applyBorder="1" applyAlignment="1">
      <alignment horizontal="right" vertical="top"/>
    </xf>
    <xf numFmtId="3" fontId="1" fillId="3" borderId="4" xfId="0" applyNumberFormat="1" applyFont="1" applyFill="1" applyBorder="1" applyAlignment="1">
      <alignment horizontal="right" vertical="top"/>
    </xf>
    <xf numFmtId="0" fontId="0" fillId="3" borderId="4" xfId="0" applyFill="1" applyBorder="1" applyAlignment="1">
      <alignment horizontal="right" vertical="top"/>
    </xf>
    <xf numFmtId="0" fontId="0" fillId="3" borderId="4" xfId="0" applyFill="1" applyBorder="1" applyAlignment="1">
      <alignment vertical="top" wrapText="1"/>
    </xf>
    <xf numFmtId="0" fontId="2" fillId="3" borderId="4" xfId="0" applyFont="1" applyFill="1" applyBorder="1" applyAlignment="1">
      <alignment vertical="top"/>
    </xf>
    <xf numFmtId="0" fontId="0" fillId="0" borderId="14" xfId="0" applyBorder="1"/>
    <xf numFmtId="166" fontId="4" fillId="2" borderId="4" xfId="0" applyNumberFormat="1" applyFont="1" applyFill="1" applyBorder="1" applyAlignment="1">
      <alignment horizontal="right" vertical="top"/>
    </xf>
    <xf numFmtId="166" fontId="0" fillId="2" borderId="4" xfId="0" applyNumberFormat="1" applyFill="1" applyBorder="1" applyAlignment="1">
      <alignment horizontal="right" vertical="top"/>
    </xf>
    <xf numFmtId="166" fontId="4" fillId="2" borderId="2" xfId="0" applyNumberFormat="1" applyFont="1" applyFill="1" applyBorder="1" applyAlignment="1">
      <alignment horizontal="right" vertical="top"/>
    </xf>
    <xf numFmtId="166" fontId="0" fillId="2" borderId="4" xfId="0" applyNumberFormat="1" applyFont="1" applyFill="1" applyBorder="1" applyAlignment="1">
      <alignment horizontal="right" vertical="top"/>
    </xf>
    <xf numFmtId="167" fontId="0" fillId="0" borderId="0" xfId="0" applyNumberFormat="1"/>
    <xf numFmtId="0" fontId="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3" fontId="0" fillId="3" borderId="8" xfId="0" applyNumberFormat="1" applyFill="1" applyBorder="1" applyAlignment="1">
      <alignment horizontal="right" vertical="top"/>
    </xf>
    <xf numFmtId="166" fontId="0" fillId="2" borderId="8" xfId="0" applyNumberFormat="1" applyFill="1" applyBorder="1" applyAlignment="1">
      <alignment horizontal="right" vertical="top"/>
    </xf>
    <xf numFmtId="166" fontId="0" fillId="2" borderId="14" xfId="0" applyNumberFormat="1" applyFont="1" applyFill="1" applyBorder="1" applyAlignment="1">
      <alignment horizontal="right" vertical="top"/>
    </xf>
    <xf numFmtId="166" fontId="0" fillId="2" borderId="14" xfId="0" applyNumberFormat="1" applyFill="1" applyBorder="1" applyAlignment="1">
      <alignment horizontal="right" vertical="top"/>
    </xf>
    <xf numFmtId="3" fontId="0" fillId="3" borderId="22" xfId="0" applyNumberFormat="1" applyFill="1" applyBorder="1" applyAlignment="1">
      <alignment horizontal="right" vertical="top"/>
    </xf>
    <xf numFmtId="166" fontId="0" fillId="2" borderId="22" xfId="0" applyNumberFormat="1" applyFill="1" applyBorder="1" applyAlignment="1">
      <alignment horizontal="right" vertical="top"/>
    </xf>
    <xf numFmtId="166" fontId="0" fillId="2" borderId="16" xfId="0" applyNumberFormat="1" applyFont="1" applyFill="1" applyBorder="1" applyAlignment="1">
      <alignment horizontal="right" vertical="top"/>
    </xf>
    <xf numFmtId="0" fontId="0" fillId="3" borderId="13" xfId="0" applyFill="1" applyBorder="1"/>
    <xf numFmtId="3" fontId="0" fillId="0" borderId="11" xfId="0" applyNumberFormat="1" applyBorder="1"/>
    <xf numFmtId="3" fontId="0" fillId="0" borderId="4" xfId="0" applyNumberFormat="1" applyBorder="1"/>
    <xf numFmtId="3" fontId="4" fillId="3" borderId="4" xfId="0" applyNumberFormat="1" applyFont="1" applyFill="1" applyBorder="1" applyAlignment="1">
      <alignment horizontal="right" vertical="top"/>
    </xf>
    <xf numFmtId="3" fontId="3" fillId="3" borderId="4" xfId="0" applyNumberFormat="1" applyFont="1" applyFill="1" applyBorder="1" applyAlignment="1">
      <alignment horizontal="right" vertical="top"/>
    </xf>
    <xf numFmtId="3" fontId="3" fillId="0" borderId="8" xfId="0" applyNumberFormat="1" applyFont="1" applyBorder="1" applyAlignment="1">
      <alignment horizontal="right" vertical="top"/>
    </xf>
    <xf numFmtId="0" fontId="0" fillId="0" borderId="8" xfId="0" applyBorder="1" applyAlignment="1">
      <alignment horizontal="right" vertical="top"/>
    </xf>
    <xf numFmtId="165" fontId="0" fillId="0" borderId="22" xfId="0" applyNumberFormat="1" applyBorder="1"/>
    <xf numFmtId="165" fontId="0" fillId="0" borderId="8" xfId="0" applyNumberFormat="1" applyBorder="1"/>
    <xf numFmtId="165" fontId="0" fillId="0" borderId="16" xfId="0" applyNumberFormat="1" applyBorder="1"/>
    <xf numFmtId="3" fontId="4" fillId="3" borderId="8" xfId="0" applyNumberFormat="1" applyFont="1" applyFill="1" applyBorder="1" applyAlignment="1">
      <alignment horizontal="right" vertical="top"/>
    </xf>
    <xf numFmtId="3" fontId="0" fillId="0" borderId="27" xfId="0" applyNumberFormat="1" applyFont="1" applyBorder="1" applyAlignment="1">
      <alignment horizontal="right"/>
    </xf>
    <xf numFmtId="3" fontId="0" fillId="0" borderId="28" xfId="0" applyNumberFormat="1" applyFont="1" applyBorder="1" applyAlignment="1">
      <alignment horizontal="right"/>
    </xf>
    <xf numFmtId="0" fontId="0" fillId="0" borderId="30" xfId="0" applyBorder="1"/>
    <xf numFmtId="0" fontId="0" fillId="0" borderId="31" xfId="0" applyBorder="1"/>
    <xf numFmtId="165" fontId="0" fillId="0" borderId="14" xfId="0" applyNumberFormat="1" applyBorder="1"/>
    <xf numFmtId="0" fontId="1" fillId="0" borderId="13" xfId="0" applyFont="1" applyBorder="1"/>
    <xf numFmtId="0" fontId="1" fillId="0" borderId="14" xfId="0" applyFont="1" applyBorder="1"/>
    <xf numFmtId="0" fontId="1" fillId="0" borderId="3" xfId="0" applyFont="1" applyBorder="1" applyAlignment="1">
      <alignment horizontal="center"/>
    </xf>
    <xf numFmtId="0" fontId="0" fillId="0" borderId="2" xfId="0" applyBorder="1"/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vertical="top"/>
    </xf>
    <xf numFmtId="3" fontId="1" fillId="3" borderId="8" xfId="0" applyNumberFormat="1" applyFont="1" applyFill="1" applyBorder="1" applyAlignment="1">
      <alignment horizontal="right" vertical="top"/>
    </xf>
    <xf numFmtId="3" fontId="4" fillId="0" borderId="8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0" fillId="3" borderId="8" xfId="0" applyFill="1" applyBorder="1" applyAlignment="1">
      <alignment horizontal="right" vertical="top"/>
    </xf>
    <xf numFmtId="0" fontId="5" fillId="3" borderId="8" xfId="0" applyFont="1" applyFill="1" applyBorder="1" applyAlignment="1">
      <alignment vertical="top"/>
    </xf>
    <xf numFmtId="0" fontId="3" fillId="3" borderId="8" xfId="0" applyFont="1" applyFill="1" applyBorder="1" applyAlignment="1">
      <alignment vertical="top"/>
    </xf>
    <xf numFmtId="0" fontId="3" fillId="3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/>
    <xf numFmtId="1" fontId="0" fillId="0" borderId="0" xfId="0" applyNumberFormat="1" applyFill="1" applyBorder="1" applyAlignment="1">
      <alignment horizontal="right"/>
    </xf>
    <xf numFmtId="0" fontId="0" fillId="3" borderId="8" xfId="0" applyFill="1" applyBorder="1" applyAlignment="1">
      <alignment horizontal="center"/>
    </xf>
    <xf numFmtId="3" fontId="0" fillId="0" borderId="8" xfId="0" applyNumberFormat="1" applyBorder="1"/>
    <xf numFmtId="0" fontId="4" fillId="3" borderId="8" xfId="0" applyFont="1" applyFill="1" applyBorder="1" applyAlignment="1">
      <alignment horizontal="left" vertical="top"/>
    </xf>
    <xf numFmtId="3" fontId="0" fillId="0" borderId="22" xfId="0" applyNumberFormat="1" applyFont="1" applyBorder="1" applyAlignment="1">
      <alignment horizontal="right" vertical="top"/>
    </xf>
    <xf numFmtId="3" fontId="0" fillId="0" borderId="16" xfId="0" applyNumberFormat="1" applyFont="1" applyBorder="1" applyAlignment="1">
      <alignment horizontal="right" vertical="top"/>
    </xf>
    <xf numFmtId="3" fontId="0" fillId="3" borderId="8" xfId="0" applyNumberFormat="1" applyFont="1" applyFill="1" applyBorder="1" applyAlignment="1">
      <alignment horizontal="right" vertical="top"/>
    </xf>
    <xf numFmtId="0" fontId="1" fillId="3" borderId="0" xfId="0" applyFont="1" applyFill="1" applyBorder="1" applyAlignment="1">
      <alignment vertical="top"/>
    </xf>
    <xf numFmtId="0" fontId="0" fillId="3" borderId="0" xfId="0" applyFont="1" applyFill="1" applyBorder="1" applyAlignment="1">
      <alignment horizontal="left"/>
    </xf>
    <xf numFmtId="165" fontId="0" fillId="0" borderId="0" xfId="0" applyNumberFormat="1"/>
    <xf numFmtId="0" fontId="0" fillId="3" borderId="8" xfId="0" applyFill="1" applyBorder="1" applyAlignment="1">
      <alignment vertical="top" wrapText="1"/>
    </xf>
    <xf numFmtId="3" fontId="0" fillId="3" borderId="8" xfId="0" applyNumberFormat="1" applyFill="1" applyBorder="1" applyAlignment="1"/>
    <xf numFmtId="0" fontId="0" fillId="3" borderId="8" xfId="0" applyFill="1" applyBorder="1" applyAlignment="1"/>
    <xf numFmtId="3" fontId="0" fillId="3" borderId="8" xfId="0" applyNumberFormat="1" applyFill="1" applyBorder="1" applyAlignment="1">
      <alignment vertical="top"/>
    </xf>
    <xf numFmtId="3" fontId="1" fillId="3" borderId="8" xfId="0" applyNumberFormat="1" applyFont="1" applyFill="1" applyBorder="1" applyAlignment="1">
      <alignment vertical="top"/>
    </xf>
    <xf numFmtId="3" fontId="3" fillId="0" borderId="8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vertical="top"/>
    </xf>
    <xf numFmtId="0" fontId="4" fillId="0" borderId="8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0" fillId="3" borderId="8" xfId="0" applyFill="1" applyBorder="1" applyAlignment="1">
      <alignment vertical="top"/>
    </xf>
    <xf numFmtId="0" fontId="0" fillId="0" borderId="8" xfId="0" applyBorder="1" applyAlignment="1">
      <alignment vertical="top"/>
    </xf>
    <xf numFmtId="3" fontId="0" fillId="0" borderId="8" xfId="0" applyNumberFormat="1" applyBorder="1" applyAlignment="1"/>
    <xf numFmtId="0" fontId="5" fillId="3" borderId="8" xfId="0" applyFont="1" applyFill="1" applyBorder="1" applyAlignment="1">
      <alignment horizontal="center" vertical="top"/>
    </xf>
    <xf numFmtId="0" fontId="0" fillId="0" borderId="0" xfId="0" applyFont="1" applyBorder="1"/>
    <xf numFmtId="3" fontId="0" fillId="0" borderId="0" xfId="0" applyNumberFormat="1" applyBorder="1"/>
    <xf numFmtId="3" fontId="0" fillId="0" borderId="0" xfId="0" applyNumberFormat="1" applyFont="1" applyBorder="1" applyAlignment="1">
      <alignment horizontal="right"/>
    </xf>
    <xf numFmtId="3" fontId="0" fillId="0" borderId="0" xfId="0" applyNumberFormat="1" applyFont="1" applyBorder="1"/>
    <xf numFmtId="0" fontId="0" fillId="0" borderId="0" xfId="0" applyFill="1" applyBorder="1"/>
    <xf numFmtId="165" fontId="0" fillId="0" borderId="0" xfId="0" applyNumberFormat="1" applyFont="1" applyBorder="1"/>
    <xf numFmtId="0" fontId="0" fillId="0" borderId="8" xfId="0" applyBorder="1" applyAlignment="1">
      <alignment horizontal="right"/>
    </xf>
    <xf numFmtId="165" fontId="0" fillId="0" borderId="0" xfId="0" applyNumberFormat="1" applyFill="1" applyBorder="1"/>
    <xf numFmtId="3" fontId="0" fillId="3" borderId="14" xfId="0" applyNumberFormat="1" applyFont="1" applyFill="1" applyBorder="1" applyAlignment="1">
      <alignment horizontal="right" vertical="top"/>
    </xf>
    <xf numFmtId="167" fontId="0" fillId="0" borderId="20" xfId="0" applyNumberFormat="1" applyFont="1" applyBorder="1"/>
    <xf numFmtId="167" fontId="0" fillId="0" borderId="8" xfId="0" applyNumberFormat="1" applyFont="1" applyBorder="1"/>
    <xf numFmtId="165" fontId="0" fillId="0" borderId="8" xfId="0" applyNumberFormat="1" applyFont="1" applyBorder="1"/>
    <xf numFmtId="3" fontId="0" fillId="3" borderId="40" xfId="0" applyNumberFormat="1" applyFont="1" applyFill="1" applyBorder="1" applyAlignment="1">
      <alignment horizontal="right" vertical="top"/>
    </xf>
    <xf numFmtId="3" fontId="0" fillId="3" borderId="41" xfId="0" applyNumberFormat="1" applyFont="1" applyFill="1" applyBorder="1" applyAlignment="1">
      <alignment horizontal="right" vertical="top"/>
    </xf>
    <xf numFmtId="165" fontId="0" fillId="0" borderId="20" xfId="0" applyNumberFormat="1" applyFont="1" applyBorder="1"/>
    <xf numFmtId="165" fontId="0" fillId="0" borderId="21" xfId="0" applyNumberFormat="1" applyFont="1" applyBorder="1"/>
    <xf numFmtId="165" fontId="0" fillId="0" borderId="14" xfId="0" applyNumberFormat="1" applyFont="1" applyBorder="1"/>
    <xf numFmtId="0" fontId="0" fillId="0" borderId="32" xfId="0" applyFont="1" applyBorder="1" applyAlignment="1">
      <alignment horizontal="right" vertical="top"/>
    </xf>
    <xf numFmtId="0" fontId="0" fillId="0" borderId="33" xfId="0" applyFont="1" applyBorder="1" applyAlignment="1">
      <alignment horizontal="right" vertical="top"/>
    </xf>
    <xf numFmtId="0" fontId="6" fillId="3" borderId="8" xfId="0" applyFont="1" applyFill="1" applyBorder="1" applyAlignment="1">
      <alignment vertical="top" wrapText="1"/>
    </xf>
    <xf numFmtId="3" fontId="6" fillId="3" borderId="8" xfId="0" applyNumberFormat="1" applyFont="1" applyFill="1" applyBorder="1" applyAlignment="1">
      <alignment horizontal="right" vertical="top" wrapText="1"/>
    </xf>
    <xf numFmtId="3" fontId="0" fillId="3" borderId="8" xfId="0" applyNumberFormat="1" applyFont="1" applyFill="1" applyBorder="1"/>
    <xf numFmtId="3" fontId="6" fillId="0" borderId="8" xfId="0" applyNumberFormat="1" applyFont="1" applyBorder="1" applyAlignment="1">
      <alignment horizontal="right" vertical="top" wrapText="1"/>
    </xf>
    <xf numFmtId="3" fontId="0" fillId="0" borderId="8" xfId="0" applyNumberFormat="1" applyFont="1" applyBorder="1"/>
    <xf numFmtId="3" fontId="0" fillId="3" borderId="8" xfId="0" applyNumberFormat="1" applyFont="1" applyFill="1" applyBorder="1" applyAlignment="1">
      <alignment horizontal="right"/>
    </xf>
    <xf numFmtId="0" fontId="6" fillId="3" borderId="0" xfId="0" applyFont="1" applyFill="1" applyBorder="1" applyAlignment="1">
      <alignment vertical="top" wrapText="1"/>
    </xf>
    <xf numFmtId="167" fontId="6" fillId="3" borderId="0" xfId="0" applyNumberFormat="1" applyFont="1" applyFill="1" applyBorder="1" applyAlignment="1">
      <alignment horizontal="right" vertical="top" wrapText="1"/>
    </xf>
    <xf numFmtId="166" fontId="6" fillId="3" borderId="8" xfId="0" applyNumberFormat="1" applyFont="1" applyFill="1" applyBorder="1" applyAlignment="1">
      <alignment horizontal="right" vertical="top" wrapText="1"/>
    </xf>
    <xf numFmtId="0" fontId="0" fillId="0" borderId="8" xfId="0" applyFont="1" applyBorder="1" applyAlignment="1">
      <alignment horizontal="right"/>
    </xf>
    <xf numFmtId="3" fontId="0" fillId="0" borderId="14" xfId="0" applyNumberFormat="1" applyFont="1" applyBorder="1"/>
    <xf numFmtId="0" fontId="0" fillId="0" borderId="14" xfId="0" applyFont="1" applyBorder="1" applyAlignment="1">
      <alignment horizontal="right"/>
    </xf>
    <xf numFmtId="0" fontId="0" fillId="0" borderId="39" xfId="0" applyFont="1" applyBorder="1"/>
    <xf numFmtId="3" fontId="0" fillId="0" borderId="32" xfId="0" applyNumberFormat="1" applyFont="1" applyBorder="1" applyAlignment="1">
      <alignment horizontal="right"/>
    </xf>
    <xf numFmtId="3" fontId="0" fillId="0" borderId="33" xfId="0" applyNumberFormat="1" applyFont="1" applyBorder="1" applyAlignment="1">
      <alignment horizontal="right"/>
    </xf>
    <xf numFmtId="0" fontId="0" fillId="0" borderId="13" xfId="0" applyFill="1" applyBorder="1"/>
    <xf numFmtId="3" fontId="0" fillId="0" borderId="14" xfId="0" applyNumberFormat="1" applyBorder="1"/>
    <xf numFmtId="0" fontId="0" fillId="0" borderId="15" xfId="0" applyFill="1" applyBorder="1"/>
    <xf numFmtId="3" fontId="0" fillId="0" borderId="16" xfId="0" applyNumberFormat="1" applyBorder="1"/>
    <xf numFmtId="0" fontId="6" fillId="4" borderId="8" xfId="0" applyFont="1" applyFill="1" applyBorder="1" applyAlignment="1">
      <alignment vertical="top" wrapText="1"/>
    </xf>
    <xf numFmtId="0" fontId="6" fillId="4" borderId="8" xfId="0" applyFont="1" applyFill="1" applyBorder="1" applyAlignment="1">
      <alignment horizontal="right" vertical="top" wrapText="1"/>
    </xf>
    <xf numFmtId="167" fontId="6" fillId="4" borderId="8" xfId="0" applyNumberFormat="1" applyFont="1" applyFill="1" applyBorder="1" applyAlignment="1">
      <alignment horizontal="right" vertical="top" wrapText="1"/>
    </xf>
    <xf numFmtId="167" fontId="6" fillId="4" borderId="8" xfId="0" applyNumberFormat="1" applyFont="1" applyFill="1" applyBorder="1" applyAlignment="1">
      <alignment horizontal="center" vertical="top" wrapText="1"/>
    </xf>
    <xf numFmtId="0" fontId="0" fillId="5" borderId="20" xfId="0" applyFont="1" applyFill="1" applyBorder="1" applyAlignment="1">
      <alignment horizontal="center"/>
    </xf>
    <xf numFmtId="0" fontId="0" fillId="5" borderId="2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0" fontId="0" fillId="4" borderId="21" xfId="0" applyFont="1" applyFill="1" applyBorder="1" applyAlignment="1">
      <alignment horizontal="center"/>
    </xf>
    <xf numFmtId="3" fontId="0" fillId="4" borderId="8" xfId="0" applyNumberFormat="1" applyFont="1" applyFill="1" applyBorder="1" applyAlignment="1">
      <alignment horizontal="right"/>
    </xf>
    <xf numFmtId="3" fontId="0" fillId="4" borderId="14" xfId="0" applyNumberFormat="1" applyFont="1" applyFill="1" applyBorder="1" applyAlignment="1">
      <alignment horizontal="right"/>
    </xf>
    <xf numFmtId="3" fontId="0" fillId="4" borderId="8" xfId="0" applyNumberFormat="1" applyFont="1" applyFill="1" applyBorder="1" applyAlignment="1">
      <alignment horizontal="right" vertical="top"/>
    </xf>
    <xf numFmtId="3" fontId="0" fillId="4" borderId="14" xfId="0" applyNumberFormat="1" applyFont="1" applyFill="1" applyBorder="1" applyAlignment="1">
      <alignment horizontal="right" vertical="top"/>
    </xf>
    <xf numFmtId="167" fontId="0" fillId="4" borderId="8" xfId="0" applyNumberFormat="1" applyFont="1" applyFill="1" applyBorder="1"/>
    <xf numFmtId="165" fontId="0" fillId="4" borderId="8" xfId="0" applyNumberFormat="1" applyFont="1" applyFill="1" applyBorder="1"/>
    <xf numFmtId="165" fontId="0" fillId="4" borderId="14" xfId="0" applyNumberFormat="1" applyFont="1" applyFill="1" applyBorder="1"/>
    <xf numFmtId="167" fontId="0" fillId="4" borderId="22" xfId="0" applyNumberFormat="1" applyFont="1" applyFill="1" applyBorder="1"/>
    <xf numFmtId="165" fontId="0" fillId="4" borderId="22" xfId="0" applyNumberFormat="1" applyFont="1" applyFill="1" applyBorder="1"/>
    <xf numFmtId="165" fontId="0" fillId="4" borderId="16" xfId="0" applyNumberFormat="1" applyFont="1" applyFill="1" applyBorder="1"/>
    <xf numFmtId="3" fontId="6" fillId="4" borderId="8" xfId="0" applyNumberFormat="1" applyFont="1" applyFill="1" applyBorder="1" applyAlignment="1">
      <alignment horizontal="right" vertical="top" wrapText="1"/>
    </xf>
    <xf numFmtId="0" fontId="7" fillId="4" borderId="8" xfId="0" applyFont="1" applyFill="1" applyBorder="1" applyAlignment="1">
      <alignment vertical="top" wrapText="1"/>
    </xf>
    <xf numFmtId="2" fontId="7" fillId="4" borderId="8" xfId="0" applyNumberFormat="1" applyFont="1" applyFill="1" applyBorder="1" applyAlignment="1">
      <alignment horizontal="right" vertical="top" wrapText="1"/>
    </xf>
    <xf numFmtId="0" fontId="1" fillId="4" borderId="19" xfId="0" applyFont="1" applyFill="1" applyBorder="1"/>
    <xf numFmtId="3" fontId="1" fillId="4" borderId="20" xfId="0" applyNumberFormat="1" applyFont="1" applyFill="1" applyBorder="1"/>
    <xf numFmtId="3" fontId="1" fillId="4" borderId="21" xfId="0" applyNumberFormat="1" applyFont="1" applyFill="1" applyBorder="1"/>
    <xf numFmtId="2" fontId="0" fillId="0" borderId="8" xfId="0" applyNumberFormat="1" applyBorder="1"/>
    <xf numFmtId="0" fontId="0" fillId="4" borderId="19" xfId="0" applyFill="1" applyBorder="1"/>
    <xf numFmtId="0" fontId="0" fillId="4" borderId="20" xfId="0" applyFill="1" applyBorder="1" applyAlignment="1">
      <alignment horizontal="right"/>
    </xf>
    <xf numFmtId="0" fontId="0" fillId="4" borderId="21" xfId="0" applyFill="1" applyBorder="1" applyAlignment="1">
      <alignment horizontal="right"/>
    </xf>
    <xf numFmtId="0" fontId="0" fillId="4" borderId="15" xfId="0" applyFill="1" applyBorder="1"/>
    <xf numFmtId="2" fontId="0" fillId="4" borderId="22" xfId="0" applyNumberFormat="1" applyFill="1" applyBorder="1"/>
    <xf numFmtId="165" fontId="0" fillId="4" borderId="22" xfId="0" applyNumberFormat="1" applyFill="1" applyBorder="1"/>
    <xf numFmtId="165" fontId="0" fillId="4" borderId="16" xfId="0" applyNumberFormat="1" applyFill="1" applyBorder="1"/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3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5" fontId="1" fillId="4" borderId="8" xfId="0" applyNumberFormat="1" applyFont="1" applyFill="1" applyBorder="1" applyAlignment="1">
      <alignment horizontal="right"/>
    </xf>
    <xf numFmtId="165" fontId="0" fillId="4" borderId="8" xfId="0" applyNumberFormat="1" applyFill="1" applyBorder="1" applyAlignment="1">
      <alignment horizontal="center" vertical="top"/>
    </xf>
    <xf numFmtId="166" fontId="0" fillId="4" borderId="8" xfId="0" applyNumberFormat="1" applyFill="1" applyBorder="1" applyAlignment="1">
      <alignment horizontal="center" vertical="top"/>
    </xf>
    <xf numFmtId="165" fontId="0" fillId="4" borderId="8" xfId="0" applyNumberFormat="1" applyFill="1" applyBorder="1" applyAlignment="1">
      <alignment horizontal="center"/>
    </xf>
    <xf numFmtId="166" fontId="0" fillId="4" borderId="8" xfId="0" applyNumberFormat="1" applyFill="1" applyBorder="1" applyAlignment="1">
      <alignment horizontal="center"/>
    </xf>
    <xf numFmtId="165" fontId="0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vertical="top"/>
    </xf>
    <xf numFmtId="165" fontId="0" fillId="3" borderId="0" xfId="0" applyNumberFormat="1" applyFill="1" applyBorder="1" applyAlignment="1">
      <alignment horizontal="center"/>
    </xf>
    <xf numFmtId="0" fontId="0" fillId="4" borderId="19" xfId="0" applyFont="1" applyFill="1" applyBorder="1"/>
    <xf numFmtId="0" fontId="0" fillId="4" borderId="20" xfId="0" applyFont="1" applyFill="1" applyBorder="1"/>
    <xf numFmtId="0" fontId="0" fillId="4" borderId="21" xfId="0" applyFont="1" applyFill="1" applyBorder="1"/>
    <xf numFmtId="0" fontId="0" fillId="4" borderId="8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8" xfId="0" applyFill="1" applyBorder="1"/>
    <xf numFmtId="0" fontId="0" fillId="4" borderId="8" xfId="0" applyFont="1" applyFill="1" applyBorder="1"/>
    <xf numFmtId="0" fontId="1" fillId="0" borderId="0" xfId="0" applyFont="1" applyBorder="1"/>
    <xf numFmtId="165" fontId="0" fillId="0" borderId="32" xfId="0" applyNumberFormat="1" applyFont="1" applyBorder="1"/>
    <xf numFmtId="165" fontId="0" fillId="0" borderId="22" xfId="0" applyNumberFormat="1" applyFont="1" applyBorder="1"/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" fontId="1" fillId="0" borderId="8" xfId="0" applyNumberFormat="1" applyFont="1" applyBorder="1"/>
    <xf numFmtId="165" fontId="0" fillId="0" borderId="20" xfId="0" applyNumberFormat="1" applyBorder="1"/>
    <xf numFmtId="165" fontId="0" fillId="0" borderId="21" xfId="0" applyNumberFormat="1" applyBorder="1"/>
    <xf numFmtId="165" fontId="6" fillId="4" borderId="8" xfId="0" applyNumberFormat="1" applyFont="1" applyFill="1" applyBorder="1" applyAlignment="1">
      <alignment horizontal="right" vertical="top" wrapText="1"/>
    </xf>
    <xf numFmtId="0" fontId="7" fillId="3" borderId="0" xfId="0" applyFont="1" applyFill="1" applyBorder="1" applyAlignment="1">
      <alignment vertical="top" wrapText="1"/>
    </xf>
    <xf numFmtId="2" fontId="7" fillId="3" borderId="0" xfId="0" applyNumberFormat="1" applyFont="1" applyFill="1" applyBorder="1" applyAlignment="1">
      <alignment horizontal="right" vertical="top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vertical="top"/>
    </xf>
    <xf numFmtId="0" fontId="1" fillId="3" borderId="0" xfId="0" applyFont="1" applyFill="1"/>
    <xf numFmtId="0" fontId="1" fillId="4" borderId="2" xfId="0" applyFont="1" applyFill="1" applyBorder="1"/>
    <xf numFmtId="0" fontId="0" fillId="0" borderId="23" xfId="0" applyFont="1" applyBorder="1" applyAlignment="1">
      <alignment horizontal="center" wrapText="1"/>
    </xf>
    <xf numFmtId="9" fontId="0" fillId="0" borderId="23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0" borderId="2" xfId="0" applyBorder="1"/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4" borderId="8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27" xfId="0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1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0" borderId="19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0" fillId="0" borderId="13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22" xfId="0" applyFont="1" applyBorder="1" applyAlignment="1">
      <alignment horizontal="left"/>
    </xf>
    <xf numFmtId="0" fontId="0" fillId="0" borderId="34" xfId="0" applyFont="1" applyBorder="1" applyAlignment="1">
      <alignment horizontal="left"/>
    </xf>
    <xf numFmtId="0" fontId="0" fillId="0" borderId="35" xfId="0" applyFont="1" applyBorder="1" applyAlignment="1">
      <alignment horizontal="left"/>
    </xf>
    <xf numFmtId="0" fontId="0" fillId="0" borderId="36" xfId="0" applyFont="1" applyBorder="1" applyAlignment="1">
      <alignment horizontal="left"/>
    </xf>
    <xf numFmtId="0" fontId="0" fillId="5" borderId="17" xfId="0" applyFont="1" applyFill="1" applyBorder="1" applyAlignment="1">
      <alignment horizontal="center"/>
    </xf>
    <xf numFmtId="0" fontId="0" fillId="5" borderId="37" xfId="0" applyFont="1" applyFill="1" applyBorder="1" applyAlignment="1">
      <alignment horizontal="center"/>
    </xf>
    <xf numFmtId="0" fontId="0" fillId="5" borderId="38" xfId="0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1" fillId="4" borderId="24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8" xfId="0" applyNumberFormat="1" applyBorder="1" applyAlignment="1">
      <alignment horizontal="left" wrapText="1"/>
    </xf>
    <xf numFmtId="0" fontId="0" fillId="0" borderId="0" xfId="0" applyAlignment="1">
      <alignment horizontal="center"/>
    </xf>
    <xf numFmtId="0" fontId="0" fillId="4" borderId="15" xfId="0" applyFont="1" applyFill="1" applyBorder="1" applyAlignment="1">
      <alignment horizontal="left"/>
    </xf>
    <xf numFmtId="0" fontId="0" fillId="4" borderId="22" xfId="0" applyFont="1" applyFill="1" applyBorder="1" applyAlignment="1">
      <alignment horizontal="left"/>
    </xf>
    <xf numFmtId="0" fontId="0" fillId="4" borderId="13" xfId="0" applyFont="1" applyFill="1" applyBorder="1" applyAlignment="1">
      <alignment horizontal="left"/>
    </xf>
    <xf numFmtId="0" fontId="0" fillId="4" borderId="8" xfId="0" applyFont="1" applyFill="1" applyBorder="1" applyAlignment="1">
      <alignment horizontal="left"/>
    </xf>
    <xf numFmtId="0" fontId="0" fillId="0" borderId="39" xfId="0" applyFont="1" applyBorder="1" applyAlignment="1">
      <alignment horizontal="left"/>
    </xf>
    <xf numFmtId="0" fontId="0" fillId="0" borderId="32" xfId="0" applyFont="1" applyBorder="1" applyAlignment="1">
      <alignment horizontal="left"/>
    </xf>
    <xf numFmtId="0" fontId="0" fillId="4" borderId="17" xfId="0" applyFont="1" applyFill="1" applyBorder="1" applyAlignment="1">
      <alignment horizontal="center"/>
    </xf>
    <xf numFmtId="0" fontId="0" fillId="4" borderId="37" xfId="0" applyFont="1" applyFill="1" applyBorder="1" applyAlignment="1">
      <alignment horizontal="center"/>
    </xf>
    <xf numFmtId="0" fontId="0" fillId="4" borderId="38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theme" Target="theme/theme1.xml"/><Relationship Id="rId22" Type="http://schemas.openxmlformats.org/officeDocument/2006/relationships/styles" Target="styles.xml"/><Relationship Id="rId23" Type="http://schemas.openxmlformats.org/officeDocument/2006/relationships/sharedStrings" Target="sharedStrings.xml"/><Relationship Id="rId24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11435309165034"/>
          <c:y val="0.0347025575700488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Aktiva celkem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(výběr)'!$D$5:$E$5,'HA - Rozvaha (výběr)'!$H$5,'HA - Rozvaha (výběr)'!$K$5,'HA - Rozvaha (výběr)'!$N$5)</c:f>
              <c:numCache>
                <c:formatCode>#,##0</c:formatCode>
                <c:ptCount val="5"/>
                <c:pt idx="0">
                  <c:v>152051.0</c:v>
                </c:pt>
                <c:pt idx="1">
                  <c:v>193207.0</c:v>
                </c:pt>
                <c:pt idx="2">
                  <c:v>211870.0</c:v>
                </c:pt>
                <c:pt idx="3">
                  <c:v>220505.0</c:v>
                </c:pt>
                <c:pt idx="4">
                  <c:v>241980.0</c:v>
                </c:pt>
              </c:numCache>
            </c:numRef>
          </c:val>
        </c:ser>
        <c:ser>
          <c:idx val="1"/>
          <c:order val="1"/>
          <c:tx>
            <c:v>Vlastní kapitál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.0228310502283105"/>
                  <c:y val="-0.002640263477505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182648401826484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0136986301369863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0251141552511415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0114155251141553"/>
                  <c:y val="-4.8404271250663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(výběr)'!$D$20:$E$20,'HA - Rozvaha (výběr)'!$H$20,'HA - Rozvaha (výběr)'!$K$20,'HA - Rozvaha (výběr)'!$N$20)</c:f>
              <c:numCache>
                <c:formatCode>#,##0</c:formatCode>
                <c:ptCount val="5"/>
                <c:pt idx="0">
                  <c:v>95258.395</c:v>
                </c:pt>
                <c:pt idx="1">
                  <c:v>119053.505</c:v>
                </c:pt>
                <c:pt idx="2">
                  <c:v>134771.857</c:v>
                </c:pt>
                <c:pt idx="3">
                  <c:v>154213.836</c:v>
                </c:pt>
                <c:pt idx="4">
                  <c:v>163022.725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1402744"/>
        <c:axId val="2051405592"/>
      </c:barChart>
      <c:catAx>
        <c:axId val="2051402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1405592"/>
        <c:crosses val="autoZero"/>
        <c:auto val="1"/>
        <c:lblAlgn val="ctr"/>
        <c:lblOffset val="100"/>
        <c:noMultiLvlLbl val="0"/>
      </c:catAx>
      <c:valAx>
        <c:axId val="205140559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1402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7301981087981"/>
          <c:y val="0.936414763355471"/>
          <c:w val="0.371697407687053"/>
          <c:h val="0.0477436557794952"/>
        </c:manualLayout>
      </c:layout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'VA - Rozvaha (výběr)'!$C$21</c:f>
              <c:strCache>
                <c:ptCount val="1"/>
                <c:pt idx="0">
                  <c:v>Vlastní kapitál     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(výběr)'!$E$21,'VA - Rozvaha (výběr)'!$G$21,'VA - Rozvaha (výběr)'!$I$21,'VA - Rozvaha (výběr)'!$K$21,'VA - Rozvaha (výběr)'!$M$21)</c:f>
              <c:numCache>
                <c:formatCode>0.0</c:formatCode>
                <c:ptCount val="5"/>
                <c:pt idx="0">
                  <c:v>62.64881358043443</c:v>
                </c:pt>
                <c:pt idx="1">
                  <c:v>61.61982227254719</c:v>
                </c:pt>
                <c:pt idx="2">
                  <c:v>63.61068011670957</c:v>
                </c:pt>
                <c:pt idx="3">
                  <c:v>69.93671376894428</c:v>
                </c:pt>
                <c:pt idx="4">
                  <c:v>67.37040675618587</c:v>
                </c:pt>
              </c:numCache>
            </c:numRef>
          </c:val>
        </c:ser>
        <c:ser>
          <c:idx val="1"/>
          <c:order val="1"/>
          <c:tx>
            <c:strRef>
              <c:f>'VA - Rozvaha (výběr)'!$C$26</c:f>
              <c:strCache>
                <c:ptCount val="1"/>
                <c:pt idx="0">
                  <c:v>Cizí zdroje 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(výběr)'!$E$26,'VA - Rozvaha (výběr)'!$G$26,'VA - Rozvaha (výběr)'!$I$26,'VA - Rozvaha (výběr)'!$K$26,'VA - Rozvaha (výběr)'!$M$26)</c:f>
              <c:numCache>
                <c:formatCode>0.0</c:formatCode>
                <c:ptCount val="5"/>
                <c:pt idx="0">
                  <c:v>36.88029300882113</c:v>
                </c:pt>
                <c:pt idx="1">
                  <c:v>38.17883875079671</c:v>
                </c:pt>
                <c:pt idx="2">
                  <c:v>36.1962768493302</c:v>
                </c:pt>
                <c:pt idx="3">
                  <c:v>29.60796741890957</c:v>
                </c:pt>
                <c:pt idx="4">
                  <c:v>32.46429013835767</c:v>
                </c:pt>
              </c:numCache>
            </c:numRef>
          </c:val>
        </c:ser>
        <c:ser>
          <c:idx val="2"/>
          <c:order val="2"/>
          <c:tx>
            <c:strRef>
              <c:f>'VA - Rozvaha (výběr)'!$C$32</c:f>
              <c:strCache>
                <c:ptCount val="1"/>
                <c:pt idx="0">
                  <c:v>Bankovní úvěry a výpomoci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(výběr)'!$E$32,'VA - Rozvaha (výběr)'!$G$32,'VA - Rozvaha (výběr)'!$I$32,'VA - Rozvaha (výběr)'!$K$32,'VA - Rozvaha (výběr)'!$M$32)</c:f>
              <c:numCache>
                <c:formatCode>0.0</c:formatCode>
                <c:ptCount val="5"/>
                <c:pt idx="0">
                  <c:v>17.46777791811775</c:v>
                </c:pt>
                <c:pt idx="1">
                  <c:v>23.28182480191337</c:v>
                </c:pt>
                <c:pt idx="2">
                  <c:v>20.08874721617431</c:v>
                </c:pt>
                <c:pt idx="3">
                  <c:v>13.39698508925219</c:v>
                </c:pt>
                <c:pt idx="4">
                  <c:v>16.97580241485108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575832"/>
        <c:axId val="2056578952"/>
      </c:barChart>
      <c:catAx>
        <c:axId val="205657583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2056578952"/>
        <c:crosses val="autoZero"/>
        <c:auto val="1"/>
        <c:lblAlgn val="ctr"/>
        <c:lblOffset val="100"/>
        <c:noMultiLvlLbl val="0"/>
      </c:catAx>
      <c:valAx>
        <c:axId val="20565789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575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'VA - VZZ (výběr)'!$C$26</c:f>
              <c:strCache>
                <c:ptCount val="1"/>
                <c:pt idx="0">
                  <c:v>Tržby za prodej zboží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(výběr)'!$E$26,'VA - VZZ (výběr)'!$G$26,'VA - VZZ (výběr)'!$I$26,'VA - VZZ (výběr)'!$K$26,'VA - VZZ (výběr)'!$M$26)</c:f>
              <c:numCache>
                <c:formatCode>0.0</c:formatCode>
                <c:ptCount val="5"/>
                <c:pt idx="0">
                  <c:v>16.04945132297479</c:v>
                </c:pt>
                <c:pt idx="1">
                  <c:v>13.58647080066975</c:v>
                </c:pt>
                <c:pt idx="2">
                  <c:v>14.44077807714171</c:v>
                </c:pt>
                <c:pt idx="3">
                  <c:v>12.84459216953014</c:v>
                </c:pt>
                <c:pt idx="4">
                  <c:v>14.29275301507378</c:v>
                </c:pt>
              </c:numCache>
            </c:numRef>
          </c:val>
        </c:ser>
        <c:ser>
          <c:idx val="1"/>
          <c:order val="1"/>
          <c:tx>
            <c:strRef>
              <c:f>'VA - VZZ (výběr)'!$C$27</c:f>
              <c:strCache>
                <c:ptCount val="1"/>
                <c:pt idx="0">
                  <c:v>Tržby za prodej vlastních výrobků a služeb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(výběr)'!$E$27,'VA - VZZ (výběr)'!$G$27,'VA - VZZ (výběr)'!$I$27,'VA - VZZ (výběr)'!$K$27,'VA - VZZ (výběr)'!$M$27)</c:f>
              <c:numCache>
                <c:formatCode>0.0</c:formatCode>
                <c:ptCount val="5"/>
                <c:pt idx="0">
                  <c:v>82.92840153822215</c:v>
                </c:pt>
                <c:pt idx="1">
                  <c:v>84.85844462359512</c:v>
                </c:pt>
                <c:pt idx="2">
                  <c:v>85.21713976259431</c:v>
                </c:pt>
                <c:pt idx="3">
                  <c:v>85.27846698812478</c:v>
                </c:pt>
                <c:pt idx="4">
                  <c:v>83.88644122751808</c:v>
                </c:pt>
              </c:numCache>
            </c:numRef>
          </c:val>
        </c:ser>
        <c:ser>
          <c:idx val="2"/>
          <c:order val="2"/>
          <c:tx>
            <c:strRef>
              <c:f>'VA - VZZ (výběr)'!$C$28</c:f>
              <c:strCache>
                <c:ptCount val="1"/>
                <c:pt idx="0">
                  <c:v>Tržby z prodeje dlouhodobého majetku a materiálu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(výběr)'!$E$28,'VA - VZZ (výběr)'!$G$28,'VA - VZZ (výběr)'!$I$28,'VA - VZZ (výběr)'!$K$28,'VA - VZZ (výběr)'!$M$28)</c:f>
              <c:numCache>
                <c:formatCode>0.0</c:formatCode>
                <c:ptCount val="5"/>
                <c:pt idx="0">
                  <c:v>1.022147138803062</c:v>
                </c:pt>
                <c:pt idx="1">
                  <c:v>1.555084575735136</c:v>
                </c:pt>
                <c:pt idx="2">
                  <c:v>0.342082160263978</c:v>
                </c:pt>
                <c:pt idx="3">
                  <c:v>1.876940842345084</c:v>
                </c:pt>
                <c:pt idx="4">
                  <c:v>1.820805757408149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654088"/>
        <c:axId val="2056657208"/>
      </c:barChart>
      <c:catAx>
        <c:axId val="2056654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657208"/>
        <c:crosses val="autoZero"/>
        <c:auto val="1"/>
        <c:lblAlgn val="ctr"/>
        <c:lblOffset val="100"/>
        <c:noMultiLvlLbl val="0"/>
      </c:catAx>
      <c:valAx>
        <c:axId val="205665720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654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1440322537002"/>
          <c:y val="0.0158234704529821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'VA - VZZ (výběr)'!$C$54</c:f>
              <c:strCache>
                <c:ptCount val="1"/>
                <c:pt idx="0">
                  <c:v>Výkonová spotřeba                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(výběr)'!$E$37,'VA - VZZ (výběr)'!$G$37,'VA - VZZ (výběr)'!$I$37,'VA - VZZ (výběr)'!$K$37,'VA - VZZ (výběr)'!$M$37)</c:f>
              <c:numCache>
                <c:formatCode>#\ ##0.0</c:formatCode>
                <c:ptCount val="5"/>
                <c:pt idx="0">
                  <c:v>52.7548335729791</c:v>
                </c:pt>
                <c:pt idx="1">
                  <c:v>51.12246950623944</c:v>
                </c:pt>
                <c:pt idx="2">
                  <c:v>55.62669987321993</c:v>
                </c:pt>
                <c:pt idx="3">
                  <c:v>53.71464177253002</c:v>
                </c:pt>
                <c:pt idx="4" formatCode="0.0">
                  <c:v>52.0039086243537</c:v>
                </c:pt>
              </c:numCache>
            </c:numRef>
          </c:val>
        </c:ser>
        <c:ser>
          <c:idx val="1"/>
          <c:order val="1"/>
          <c:tx>
            <c:strRef>
              <c:f>'VA - VZZ (výběr)'!$C$55</c:f>
              <c:strCache>
                <c:ptCount val="1"/>
                <c:pt idx="0">
                  <c:v>Osobní náklady               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(výběr)'!$E$39,'VA - VZZ (výběr)'!$G$39,'VA - VZZ (výběr)'!$I$39,'VA - VZZ (výběr)'!$K$39,'VA - VZZ (výběr)'!$M$39)</c:f>
              <c:numCache>
                <c:formatCode>#\ ##0.0</c:formatCode>
                <c:ptCount val="5"/>
                <c:pt idx="0">
                  <c:v>21.20382038763929</c:v>
                </c:pt>
                <c:pt idx="1">
                  <c:v>21.98363285912929</c:v>
                </c:pt>
                <c:pt idx="2">
                  <c:v>23.83190797007931</c:v>
                </c:pt>
                <c:pt idx="3">
                  <c:v>26.56293862341476</c:v>
                </c:pt>
                <c:pt idx="4" formatCode="0.0">
                  <c:v>28.74361707162201</c:v>
                </c:pt>
              </c:numCache>
            </c:numRef>
          </c:val>
        </c:ser>
        <c:ser>
          <c:idx val="2"/>
          <c:order val="2"/>
          <c:tx>
            <c:strRef>
              <c:f>'VA - VZZ (výběr)'!$C$56</c:f>
              <c:strCache>
                <c:ptCount val="1"/>
                <c:pt idx="0">
                  <c:v>Odpisy dlouhodobého nehmotného a hmotného majetku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'VA - VZZ (výběr)'!$D$61:$H$61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VZZ (výběr)'!$E$41,'VA - VZZ (výběr)'!$G$41,'VA - VZZ (výběr)'!$I$41,'VA - VZZ (výběr)'!$K$41,'VA - VZZ (výběr)'!$M$41)</c:f>
              <c:numCache>
                <c:formatCode>#\ ##0.0</c:formatCode>
                <c:ptCount val="5"/>
                <c:pt idx="0">
                  <c:v>3.93829213140776</c:v>
                </c:pt>
                <c:pt idx="1">
                  <c:v>4.514742939698157</c:v>
                </c:pt>
                <c:pt idx="2">
                  <c:v>5.925414973040093</c:v>
                </c:pt>
                <c:pt idx="3">
                  <c:v>6.158589242713258</c:v>
                </c:pt>
                <c:pt idx="4" formatCode="0.0">
                  <c:v>5.882003828747834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700072"/>
        <c:axId val="2056703192"/>
      </c:barChart>
      <c:catAx>
        <c:axId val="2056700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703192"/>
        <c:crosses val="autoZero"/>
        <c:auto val="1"/>
        <c:lblAlgn val="ctr"/>
        <c:lblOffset val="100"/>
        <c:noMultiLvlLbl val="0"/>
      </c:catAx>
      <c:valAx>
        <c:axId val="2056703192"/>
        <c:scaling>
          <c:orientation val="minMax"/>
        </c:scaling>
        <c:delete val="0"/>
        <c:axPos val="l"/>
        <c:numFmt formatCode="#\ ##0.0" sourceLinked="1"/>
        <c:majorTickMark val="none"/>
        <c:minorTickMark val="none"/>
        <c:tickLblPos val="nextTo"/>
        <c:crossAx val="2056700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071741032371"/>
          <c:y val="0.047752772838879"/>
          <c:w val="0.846295396872387"/>
          <c:h val="0.844498179663026"/>
        </c:manualLayout>
      </c:layout>
      <c:barChart>
        <c:barDir val="col"/>
        <c:grouping val="clustered"/>
        <c:varyColors val="0"/>
        <c:ser>
          <c:idx val="0"/>
          <c:order val="0"/>
          <c:tx>
            <c:v>Čistý pracovní kapitál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ČPK!$C$11:$G$11</c:f>
              <c:numCache>
                <c:formatCode>#,##0</c:formatCode>
                <c:ptCount val="5"/>
                <c:pt idx="0">
                  <c:v>23437.0</c:v>
                </c:pt>
                <c:pt idx="1">
                  <c:v>24676.0</c:v>
                </c:pt>
                <c:pt idx="2">
                  <c:v>36816.0</c:v>
                </c:pt>
                <c:pt idx="3">
                  <c:v>52651.0</c:v>
                </c:pt>
                <c:pt idx="4">
                  <c:v>58326.0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6743464"/>
        <c:axId val="2056746504"/>
      </c:barChart>
      <c:catAx>
        <c:axId val="205674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6746504"/>
        <c:crosses val="autoZero"/>
        <c:auto val="1"/>
        <c:lblAlgn val="ctr"/>
        <c:lblOffset val="100"/>
        <c:noMultiLvlLbl val="0"/>
      </c:catAx>
      <c:valAx>
        <c:axId val="2056746504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2056743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ČPK!$J$9</c:f>
              <c:strCache>
                <c:ptCount val="1"/>
                <c:pt idx="0">
                  <c:v>Zásoby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(ČPK!$L$9,ČPK!$N$9,ČPK!$P$9,ČPK!$R$9,ČPK!$T$9)</c:f>
              <c:numCache>
                <c:formatCode>0.0</c:formatCode>
                <c:ptCount val="5"/>
                <c:pt idx="0">
                  <c:v>35.86849362042607</c:v>
                </c:pt>
                <c:pt idx="1">
                  <c:v>37.70424258031288</c:v>
                </c:pt>
                <c:pt idx="2">
                  <c:v>41.02500979130532</c:v>
                </c:pt>
                <c:pt idx="3">
                  <c:v>43.05779324114618</c:v>
                </c:pt>
                <c:pt idx="4">
                  <c:v>40.85269426446535</c:v>
                </c:pt>
              </c:numCache>
            </c:numRef>
          </c:val>
        </c:ser>
        <c:ser>
          <c:idx val="1"/>
          <c:order val="1"/>
          <c:tx>
            <c:strRef>
              <c:f>ČPK!$J$11</c:f>
              <c:strCache>
                <c:ptCount val="1"/>
                <c:pt idx="0">
                  <c:v>Krátkodobé pohledávky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(ČPK!$L$11,ČPK!$N$11,ČPK!$P$11,ČPK!$R$11,ČPK!$T$11)</c:f>
              <c:numCache>
                <c:formatCode>0.0</c:formatCode>
                <c:ptCount val="5"/>
                <c:pt idx="0">
                  <c:v>37.36158539199017</c:v>
                </c:pt>
                <c:pt idx="1">
                  <c:v>37.84973926479109</c:v>
                </c:pt>
                <c:pt idx="2">
                  <c:v>41.82174229284396</c:v>
                </c:pt>
                <c:pt idx="3">
                  <c:v>42.59619851538484</c:v>
                </c:pt>
                <c:pt idx="4">
                  <c:v>41.75725865481063</c:v>
                </c:pt>
              </c:numCache>
            </c:numRef>
          </c:val>
        </c:ser>
        <c:ser>
          <c:idx val="2"/>
          <c:order val="2"/>
          <c:tx>
            <c:strRef>
              <c:f>ČPK!$J$12</c:f>
              <c:strCache>
                <c:ptCount val="1"/>
                <c:pt idx="0">
                  <c:v>Krátkodobý finanční majetek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(ČPK!$L$12,ČPK!$N$12,ČPK!$P$12,ČPK!$R$12,ČPK!$T$12)</c:f>
              <c:numCache>
                <c:formatCode>0.0</c:formatCode>
                <c:ptCount val="5"/>
                <c:pt idx="0">
                  <c:v>26.4298675506151</c:v>
                </c:pt>
                <c:pt idx="1">
                  <c:v>24.02755423936136</c:v>
                </c:pt>
                <c:pt idx="2">
                  <c:v>16.74704862082471</c:v>
                </c:pt>
                <c:pt idx="3">
                  <c:v>14.10384398691324</c:v>
                </c:pt>
                <c:pt idx="4">
                  <c:v>17.27708948952206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790808"/>
        <c:axId val="2056793928"/>
      </c:barChart>
      <c:catAx>
        <c:axId val="2056790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793928"/>
        <c:crosses val="autoZero"/>
        <c:auto val="1"/>
        <c:lblAlgn val="ctr"/>
        <c:lblOffset val="100"/>
        <c:noMultiLvlLbl val="0"/>
      </c:catAx>
      <c:valAx>
        <c:axId val="20567939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790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ČPK!$J$52</c:f>
              <c:strCache>
                <c:ptCount val="1"/>
                <c:pt idx="0">
                  <c:v>Materiál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(ČPK!$L$52,ČPK!$N$52,ČPK!$P$52,ČPK!$R$52,ČPK!$T$52)</c:f>
              <c:numCache>
                <c:formatCode>0.0</c:formatCode>
                <c:ptCount val="5"/>
                <c:pt idx="0">
                  <c:v>27.62507966857871</c:v>
                </c:pt>
                <c:pt idx="1">
                  <c:v>34.87347607827067</c:v>
                </c:pt>
                <c:pt idx="2">
                  <c:v>23.52219100357348</c:v>
                </c:pt>
                <c:pt idx="3">
                  <c:v>21.64271612873605</c:v>
                </c:pt>
                <c:pt idx="4">
                  <c:v>29.03468412670324</c:v>
                </c:pt>
              </c:numCache>
            </c:numRef>
          </c:val>
        </c:ser>
        <c:ser>
          <c:idx val="1"/>
          <c:order val="1"/>
          <c:tx>
            <c:strRef>
              <c:f>ČPK!$J$53</c:f>
              <c:strCache>
                <c:ptCount val="1"/>
                <c:pt idx="0">
                  <c:v>Nedokončená výroba a pol.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(ČPK!$L$53,ČPK!$N$53,ČPK!$P$53,ČPK!$R$53,ČPK!$T$53)</c:f>
              <c:numCache>
                <c:formatCode>0.0</c:formatCode>
                <c:ptCount val="5"/>
                <c:pt idx="0">
                  <c:v>12.44821542383684</c:v>
                </c:pt>
                <c:pt idx="1">
                  <c:v>11.68254618720759</c:v>
                </c:pt>
                <c:pt idx="2">
                  <c:v>10.73679041981505</c:v>
                </c:pt>
                <c:pt idx="3">
                  <c:v>9.143290023414902</c:v>
                </c:pt>
                <c:pt idx="4">
                  <c:v>9.09352327021766</c:v>
                </c:pt>
              </c:numCache>
            </c:numRef>
          </c:val>
        </c:ser>
        <c:ser>
          <c:idx val="2"/>
          <c:order val="2"/>
          <c:tx>
            <c:strRef>
              <c:f>ČPK!$J$54</c:f>
              <c:strCache>
                <c:ptCount val="1"/>
                <c:pt idx="0">
                  <c:v>Výrobky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(ČPK!$L$54,ČPK!$N$54,ČPK!$P$54,ČPK!$R$54,ČPK!$T$54)</c:f>
              <c:numCache>
                <c:formatCode>0.0</c:formatCode>
                <c:ptCount val="5"/>
                <c:pt idx="0">
                  <c:v>28.36599745060548</c:v>
                </c:pt>
                <c:pt idx="1">
                  <c:v>25.01451354027934</c:v>
                </c:pt>
                <c:pt idx="2">
                  <c:v>32.68774380097656</c:v>
                </c:pt>
                <c:pt idx="3">
                  <c:v>35.61819934805564</c:v>
                </c:pt>
                <c:pt idx="4">
                  <c:v>29.70270748540081</c:v>
                </c:pt>
              </c:numCache>
            </c:numRef>
          </c:val>
        </c:ser>
        <c:ser>
          <c:idx val="3"/>
          <c:order val="3"/>
          <c:tx>
            <c:strRef>
              <c:f>ČPK!$J$55</c:f>
              <c:strCache>
                <c:ptCount val="1"/>
                <c:pt idx="0">
                  <c:v>Zboží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numRef>
              <c:f>ČPK!$C$10:$G$10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(ČPK!$L$55,ČPK!$N$55,ČPK!$P$55,ČPK!$R$55,ČPK!$T$55)</c:f>
              <c:numCache>
                <c:formatCode>0.0</c:formatCode>
                <c:ptCount val="5"/>
                <c:pt idx="0">
                  <c:v>31.56070745697896</c:v>
                </c:pt>
                <c:pt idx="1">
                  <c:v>28.42946419424239</c:v>
                </c:pt>
                <c:pt idx="2">
                  <c:v>33.0532747756349</c:v>
                </c:pt>
                <c:pt idx="3">
                  <c:v>33.5957944997934</c:v>
                </c:pt>
                <c:pt idx="4">
                  <c:v>32.16908511767829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0833640"/>
        <c:axId val="2048450680"/>
      </c:barChart>
      <c:catAx>
        <c:axId val="2050833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48450680"/>
        <c:crosses val="autoZero"/>
        <c:auto val="1"/>
        <c:lblAlgn val="ctr"/>
        <c:lblOffset val="100"/>
        <c:noMultiLvlLbl val="0"/>
      </c:catAx>
      <c:valAx>
        <c:axId val="204845068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0833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3209320885396"/>
          <c:y val="0.0424308819105125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Rentabilita!$B$13</c:f>
              <c:strCache>
                <c:ptCount val="1"/>
                <c:pt idx="0">
                  <c:v>ROA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Rentabilita!$E$13:$I$13</c:f>
              <c:numCache>
                <c:formatCode>0.0</c:formatCode>
                <c:ptCount val="5"/>
                <c:pt idx="0">
                  <c:v>25.28519707203504</c:v>
                </c:pt>
                <c:pt idx="1">
                  <c:v>17.29932404105442</c:v>
                </c:pt>
                <c:pt idx="2">
                  <c:v>12.5793444093076</c:v>
                </c:pt>
                <c:pt idx="3">
                  <c:v>16.32517902088388</c:v>
                </c:pt>
                <c:pt idx="4">
                  <c:v>10.38380238036201</c:v>
                </c:pt>
              </c:numCache>
            </c:numRef>
          </c:val>
        </c:ser>
        <c:ser>
          <c:idx val="1"/>
          <c:order val="1"/>
          <c:tx>
            <c:strRef>
              <c:f>Rentabilita!$B$14</c:f>
              <c:strCache>
                <c:ptCount val="1"/>
                <c:pt idx="0">
                  <c:v>ROE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Rentabilita!$E$14:$I$14</c:f>
              <c:numCache>
                <c:formatCode>0.0</c:formatCode>
                <c:ptCount val="5"/>
                <c:pt idx="0">
                  <c:v>28.03573900232101</c:v>
                </c:pt>
                <c:pt idx="1">
                  <c:v>20.74739840712796</c:v>
                </c:pt>
                <c:pt idx="2">
                  <c:v>15.08612959158083</c:v>
                </c:pt>
                <c:pt idx="3">
                  <c:v>17.53658212613296</c:v>
                </c:pt>
                <c:pt idx="4">
                  <c:v>11.95153927159542</c:v>
                </c:pt>
              </c:numCache>
            </c:numRef>
          </c:val>
        </c:ser>
        <c:ser>
          <c:idx val="2"/>
          <c:order val="2"/>
          <c:tx>
            <c:strRef>
              <c:f>Rentabilita!$B$15</c:f>
              <c:strCache>
                <c:ptCount val="1"/>
                <c:pt idx="0">
                  <c:v>ROCE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Rentabilita!$E$15:$I$15</c:f>
              <c:numCache>
                <c:formatCode>0.0</c:formatCode>
                <c:ptCount val="5"/>
                <c:pt idx="0">
                  <c:v>25.84613358215813</c:v>
                </c:pt>
                <c:pt idx="1">
                  <c:v>17.80646434250921</c:v>
                </c:pt>
                <c:pt idx="2">
                  <c:v>12.87422379336024</c:v>
                </c:pt>
                <c:pt idx="3">
                  <c:v>15.8954378077056</c:v>
                </c:pt>
                <c:pt idx="4">
                  <c:v>10.33461876963312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824440"/>
        <c:axId val="2056827560"/>
      </c:barChart>
      <c:catAx>
        <c:axId val="205682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827560"/>
        <c:crosses val="autoZero"/>
        <c:auto val="1"/>
        <c:lblAlgn val="ctr"/>
        <c:lblOffset val="100"/>
        <c:noMultiLvlLbl val="0"/>
      </c:catAx>
      <c:valAx>
        <c:axId val="2056827560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8244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17"/>
          <c:y val="0.0583013386660463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Rentabilita!$B$16</c:f>
              <c:strCache>
                <c:ptCount val="1"/>
                <c:pt idx="0">
                  <c:v>ROS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Rentabilita!$E$16:$I$16</c:f>
              <c:numCache>
                <c:formatCode>0.0</c:formatCode>
                <c:ptCount val="5"/>
                <c:pt idx="0">
                  <c:v>14.39061359544548</c:v>
                </c:pt>
                <c:pt idx="1">
                  <c:v>12.38503909289658</c:v>
                </c:pt>
                <c:pt idx="2">
                  <c:v>8.99549648980694</c:v>
                </c:pt>
                <c:pt idx="3">
                  <c:v>11.44965696673993</c:v>
                </c:pt>
                <c:pt idx="4">
                  <c:v>8.135364795472356</c:v>
                </c:pt>
              </c:numCache>
            </c:numRef>
          </c:val>
        </c:ser>
        <c:ser>
          <c:idx val="1"/>
          <c:order val="1"/>
          <c:tx>
            <c:strRef>
              <c:f>Rentabilita!$B$17</c:f>
              <c:strCache>
                <c:ptCount val="1"/>
                <c:pt idx="0">
                  <c:v>ROC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Rentabilita!$E$17:$I$17</c:f>
              <c:numCache>
                <c:formatCode>0.0</c:formatCode>
                <c:ptCount val="5"/>
                <c:pt idx="0">
                  <c:v>10.37098841036081</c:v>
                </c:pt>
                <c:pt idx="1">
                  <c:v>8.99081297836995</c:v>
                </c:pt>
                <c:pt idx="2">
                  <c:v>7.06467320515828</c:v>
                </c:pt>
                <c:pt idx="3">
                  <c:v>9.201614447403498</c:v>
                </c:pt>
                <c:pt idx="4">
                  <c:v>6.691591628901292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865688"/>
        <c:axId val="2056868728"/>
      </c:barChart>
      <c:catAx>
        <c:axId val="2056865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868728"/>
        <c:crosses val="autoZero"/>
        <c:auto val="1"/>
        <c:lblAlgn val="ctr"/>
        <c:lblOffset val="100"/>
        <c:noMultiLvlLbl val="0"/>
      </c:catAx>
      <c:valAx>
        <c:axId val="2056868728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865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27076061368617"/>
          <c:y val="0.037062404559514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Rentabilita!$B$4</c:f>
              <c:strCache>
                <c:ptCount val="1"/>
                <c:pt idx="0">
                  <c:v>Aktiva celkem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Rentabilita!$E$4:$I$4</c:f>
              <c:numCache>
                <c:formatCode>#,##0</c:formatCode>
                <c:ptCount val="5"/>
                <c:pt idx="0">
                  <c:v>152051.0</c:v>
                </c:pt>
                <c:pt idx="1">
                  <c:v>193207.0</c:v>
                </c:pt>
                <c:pt idx="2">
                  <c:v>211870.0</c:v>
                </c:pt>
                <c:pt idx="3">
                  <c:v>220505.0</c:v>
                </c:pt>
                <c:pt idx="4">
                  <c:v>241980.0</c:v>
                </c:pt>
              </c:numCache>
            </c:numRef>
          </c:val>
        </c:ser>
        <c:ser>
          <c:idx val="1"/>
          <c:order val="1"/>
          <c:tx>
            <c:strRef>
              <c:f>Rentabilita!$B$5</c:f>
              <c:strCache>
                <c:ptCount val="1"/>
                <c:pt idx="0">
                  <c:v>Vlastní kapitál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Rentabilita!$E$5:$I$5</c:f>
              <c:numCache>
                <c:formatCode>#,##0</c:formatCode>
                <c:ptCount val="5"/>
                <c:pt idx="0">
                  <c:v>95258.395</c:v>
                </c:pt>
                <c:pt idx="1">
                  <c:v>119053.505</c:v>
                </c:pt>
                <c:pt idx="2">
                  <c:v>134771.857</c:v>
                </c:pt>
                <c:pt idx="3">
                  <c:v>154213.836</c:v>
                </c:pt>
                <c:pt idx="4">
                  <c:v>163022.725</c:v>
                </c:pt>
              </c:numCache>
            </c:numRef>
          </c:val>
        </c:ser>
        <c:ser>
          <c:idx val="2"/>
          <c:order val="2"/>
          <c:tx>
            <c:strRef>
              <c:f>Rentabilita!$B$6</c:f>
              <c:strCache>
                <c:ptCount val="1"/>
                <c:pt idx="0">
                  <c:v>Dlouhodobé dluhy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Rentabilita!$E$6:$I$6</c:f>
              <c:numCache>
                <c:formatCode>#,##0</c:formatCode>
                <c:ptCount val="5"/>
                <c:pt idx="0">
                  <c:v>8070.0</c:v>
                </c:pt>
                <c:pt idx="1">
                  <c:v>19663.0</c:v>
                </c:pt>
                <c:pt idx="2">
                  <c:v>23155.0</c:v>
                </c:pt>
                <c:pt idx="3">
                  <c:v>15922.0</c:v>
                </c:pt>
                <c:pt idx="4">
                  <c:v>25506.0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0677752"/>
        <c:axId val="2054973352"/>
      </c:barChart>
      <c:catAx>
        <c:axId val="2050677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4973352"/>
        <c:crosses val="autoZero"/>
        <c:auto val="1"/>
        <c:lblAlgn val="ctr"/>
        <c:lblOffset val="100"/>
        <c:noMultiLvlLbl val="0"/>
      </c:catAx>
      <c:valAx>
        <c:axId val="205497335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0677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991039913114"/>
          <c:y val="0.0583910894386935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Rentabilita!$B$9</c:f>
              <c:strCache>
                <c:ptCount val="1"/>
                <c:pt idx="0">
                  <c:v>Tržby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Rentabilita!$E$9:$I$9</c:f>
              <c:numCache>
                <c:formatCode>#,##0</c:formatCode>
                <c:ptCount val="5"/>
                <c:pt idx="0">
                  <c:v>267163.0</c:v>
                </c:pt>
                <c:pt idx="1">
                  <c:v>269870.0</c:v>
                </c:pt>
                <c:pt idx="2">
                  <c:v>296280.0</c:v>
                </c:pt>
                <c:pt idx="3">
                  <c:v>314401.0</c:v>
                </c:pt>
                <c:pt idx="4">
                  <c:v>308858.0</c:v>
                </c:pt>
              </c:numCache>
            </c:numRef>
          </c:val>
        </c:ser>
        <c:ser>
          <c:idx val="1"/>
          <c:order val="1"/>
          <c:tx>
            <c:strRef>
              <c:f>Rentabilita!$B$10</c:f>
              <c:strCache>
                <c:ptCount val="1"/>
                <c:pt idx="0">
                  <c:v>Celkové náklady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Rentabilita!$E$10:$I$10</c:f>
              <c:numCache>
                <c:formatCode>#,##0</c:formatCode>
                <c:ptCount val="5"/>
                <c:pt idx="0">
                  <c:v>257510.605</c:v>
                </c:pt>
                <c:pt idx="1">
                  <c:v>274730.495</c:v>
                </c:pt>
                <c:pt idx="2">
                  <c:v>287796.143</c:v>
                </c:pt>
                <c:pt idx="3">
                  <c:v>293903.164</c:v>
                </c:pt>
                <c:pt idx="4">
                  <c:v>291167.275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907048"/>
        <c:axId val="2056910088"/>
      </c:barChart>
      <c:catAx>
        <c:axId val="2056907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910088"/>
        <c:crosses val="autoZero"/>
        <c:auto val="1"/>
        <c:lblAlgn val="ctr"/>
        <c:lblOffset val="100"/>
        <c:noMultiLvlLbl val="0"/>
      </c:catAx>
      <c:valAx>
        <c:axId val="205691008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6907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5069080831902"/>
          <c:y val="0.0174982603791357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Krátkodobé pohledávky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(výběr)'!$D$13:$E$13,'HA - Rozvaha (výběr)'!$H$13,'HA - Rozvaha (výběr)'!$K$13,'HA - Rozvaha (výběr)'!$N$13)</c:f>
              <c:numCache>
                <c:formatCode>#,##0</c:formatCode>
                <c:ptCount val="5"/>
                <c:pt idx="0">
                  <c:v>26149.0</c:v>
                </c:pt>
                <c:pt idx="1">
                  <c:v>29396.0</c:v>
                </c:pt>
                <c:pt idx="2">
                  <c:v>37374.0</c:v>
                </c:pt>
                <c:pt idx="3">
                  <c:v>43095.0</c:v>
                </c:pt>
                <c:pt idx="4">
                  <c:v>46209.0</c:v>
                </c:pt>
              </c:numCache>
            </c:numRef>
          </c:val>
        </c:ser>
        <c:ser>
          <c:idx val="1"/>
          <c:order val="1"/>
          <c:tx>
            <c:v>Krátkodobé závazky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.0101394169835234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118293198141107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0118293198141108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0101394169835234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0135192226446979"/>
                  <c:y val="-4.2585648194073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(výběr)'!$D$29:$E$29,'HA - Rozvaha (výběr)'!$H$29,'HA - Rozvaha (výběr)'!$K$29,'HA - Rozvaha (výběr)'!$N$29)</c:f>
              <c:numCache>
                <c:formatCode>#,##0</c:formatCode>
                <c:ptCount val="5"/>
                <c:pt idx="0">
                  <c:v>24827.0</c:v>
                </c:pt>
                <c:pt idx="1">
                  <c:v>23242.0</c:v>
                </c:pt>
                <c:pt idx="2">
                  <c:v>28193.0</c:v>
                </c:pt>
                <c:pt idx="3">
                  <c:v>29162.0</c:v>
                </c:pt>
                <c:pt idx="4">
                  <c:v>30189.0</c:v>
                </c:pt>
              </c:numCache>
            </c:numRef>
          </c:val>
        </c:ser>
        <c:ser>
          <c:idx val="2"/>
          <c:order val="2"/>
          <c:tx>
            <c:v>Krátkodobý finanční majetek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.0101394169835234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152091254752852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0168990283058725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0118293198141107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0118293198141106"/>
                  <c:y val="0.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('HA - Rozvaha (výběr)'!$D$14:$E$14,'HA - Rozvaha (výběr)'!$H$14,'HA - Rozvaha (výběr)'!$K$14,'HA - Rozvaha (výběr)'!$N$14)</c:f>
              <c:numCache>
                <c:formatCode>#,##0</c:formatCode>
                <c:ptCount val="5"/>
                <c:pt idx="0">
                  <c:v>18498.0</c:v>
                </c:pt>
                <c:pt idx="1">
                  <c:v>18661.0</c:v>
                </c:pt>
                <c:pt idx="2">
                  <c:v>14966.0</c:v>
                </c:pt>
                <c:pt idx="3">
                  <c:v>14269.0</c:v>
                </c:pt>
                <c:pt idx="4">
                  <c:v>19119.0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49669944"/>
        <c:axId val="2049673064"/>
      </c:barChart>
      <c:catAx>
        <c:axId val="2049669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49673064"/>
        <c:crosses val="autoZero"/>
        <c:auto val="1"/>
        <c:lblAlgn val="ctr"/>
        <c:lblOffset val="100"/>
        <c:noMultiLvlLbl val="0"/>
      </c:catAx>
      <c:valAx>
        <c:axId val="204967306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49669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1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Rentabilita!$B$11</c:f>
              <c:strCache>
                <c:ptCount val="1"/>
                <c:pt idx="0">
                  <c:v>EBIT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Rentabilita!$E$11:$I$11</c:f>
              <c:numCache>
                <c:formatCode>#,##0</c:formatCode>
                <c:ptCount val="5"/>
                <c:pt idx="0">
                  <c:v>38446.395</c:v>
                </c:pt>
                <c:pt idx="1">
                  <c:v>33423.505</c:v>
                </c:pt>
                <c:pt idx="2">
                  <c:v>26651.857</c:v>
                </c:pt>
                <c:pt idx="3">
                  <c:v>35997.836</c:v>
                </c:pt>
                <c:pt idx="4">
                  <c:v>25126.72500000001</c:v>
                </c:pt>
              </c:numCache>
            </c:numRef>
          </c:val>
        </c:ser>
        <c:ser>
          <c:idx val="1"/>
          <c:order val="1"/>
          <c:tx>
            <c:strRef>
              <c:f>Rentabilita!$B$12</c:f>
              <c:strCache>
                <c:ptCount val="1"/>
                <c:pt idx="0">
                  <c:v>Čistý zisk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Rentabilita!$E$12:$I$12</c:f>
              <c:numCache>
                <c:formatCode>#,##0</c:formatCode>
                <c:ptCount val="5"/>
                <c:pt idx="0">
                  <c:v>26706.395</c:v>
                </c:pt>
                <c:pt idx="1">
                  <c:v>24700.505</c:v>
                </c:pt>
                <c:pt idx="2">
                  <c:v>20331.857</c:v>
                </c:pt>
                <c:pt idx="3">
                  <c:v>27043.836</c:v>
                </c:pt>
                <c:pt idx="4">
                  <c:v>19483.72500000001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944344"/>
        <c:axId val="2056947384"/>
      </c:barChart>
      <c:catAx>
        <c:axId val="2056944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947384"/>
        <c:crosses val="autoZero"/>
        <c:auto val="1"/>
        <c:lblAlgn val="ctr"/>
        <c:lblOffset val="100"/>
        <c:noMultiLvlLbl val="0"/>
      </c:catAx>
      <c:valAx>
        <c:axId val="205694738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69443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18"/>
          <c:y val="0.0583013386660463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Zadluženost!$B$15</c:f>
              <c:strCache>
                <c:ptCount val="1"/>
                <c:pt idx="0">
                  <c:v>Celková zadluženost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cat>
            <c:numRef>
              <c:f>Zadluženost!$E$9:$I$9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Zadluženost!$E$15:$I$15</c:f>
              <c:numCache>
                <c:formatCode>0.0</c:formatCode>
                <c:ptCount val="5"/>
                <c:pt idx="0">
                  <c:v>36.88038881691011</c:v>
                </c:pt>
                <c:pt idx="1">
                  <c:v>38.17874093588742</c:v>
                </c:pt>
                <c:pt idx="2">
                  <c:v>36.19625241893614</c:v>
                </c:pt>
                <c:pt idx="3">
                  <c:v>29.60794539806353</c:v>
                </c:pt>
                <c:pt idx="4">
                  <c:v>32.46425324406975</c:v>
                </c:pt>
              </c:numCache>
            </c:numRef>
          </c:val>
        </c:ser>
        <c:ser>
          <c:idx val="1"/>
          <c:order val="1"/>
          <c:tx>
            <c:strRef>
              <c:f>Zadluženost!$B$16</c:f>
              <c:strCache>
                <c:ptCount val="1"/>
                <c:pt idx="0">
                  <c:v>Zadluženost vlastního kapitálu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Zadluženost!$E$9:$I$9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Zadluženost!$E$16:$I$16</c:f>
              <c:numCache>
                <c:formatCode>0.0</c:formatCode>
                <c:ptCount val="5"/>
                <c:pt idx="0">
                  <c:v>58.8683023685209</c:v>
                </c:pt>
                <c:pt idx="1">
                  <c:v>61.95869663812081</c:v>
                </c:pt>
                <c:pt idx="2">
                  <c:v>56.9028294980012</c:v>
                </c:pt>
                <c:pt idx="3">
                  <c:v>42.33537125683068</c:v>
                </c:pt>
                <c:pt idx="4">
                  <c:v>48.1877603260527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009192"/>
        <c:axId val="2057012232"/>
      </c:barChart>
      <c:catAx>
        <c:axId val="2057009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012232"/>
        <c:crosses val="autoZero"/>
        <c:auto val="1"/>
        <c:lblAlgn val="ctr"/>
        <c:lblOffset val="100"/>
        <c:noMultiLvlLbl val="0"/>
      </c:catAx>
      <c:valAx>
        <c:axId val="20570122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009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977584918674"/>
          <c:y val="0.0783515218492429"/>
          <c:w val="0.834997284239801"/>
          <c:h val="0.7229067599426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Zadluženost!$B$18</c:f>
              <c:strCache>
                <c:ptCount val="1"/>
                <c:pt idx="0">
                  <c:v>Finanční páka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cat>
            <c:numRef>
              <c:f>Zadluženost!$E$9:$I$9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Zadluženost!$E$18:$I$18</c:f>
              <c:numCache>
                <c:formatCode>0.0</c:formatCode>
                <c:ptCount val="5"/>
                <c:pt idx="0">
                  <c:v>159.6195274967629</c:v>
                </c:pt>
                <c:pt idx="1">
                  <c:v>162.2858562626946</c:v>
                </c:pt>
                <c:pt idx="2">
                  <c:v>157.2064114246047</c:v>
                </c:pt>
                <c:pt idx="3">
                  <c:v>142.9865216503661</c:v>
                </c:pt>
                <c:pt idx="4">
                  <c:v>148.433293579162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040312"/>
        <c:axId val="2057043352"/>
      </c:barChart>
      <c:catAx>
        <c:axId val="205704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043352"/>
        <c:crosses val="autoZero"/>
        <c:auto val="1"/>
        <c:lblAlgn val="ctr"/>
        <c:lblOffset val="100"/>
        <c:noMultiLvlLbl val="0"/>
      </c:catAx>
      <c:valAx>
        <c:axId val="205704335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0403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85136221440959"/>
          <c:y val="0.0359304752617091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Zadluženost!$B$17</c:f>
              <c:strCache>
                <c:ptCount val="1"/>
                <c:pt idx="0">
                  <c:v>Úrokové krytí (poměrové číslo)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Zadluženost!$E$9:$I$9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Zadluženost!$E$17:$I$17</c:f>
              <c:numCache>
                <c:formatCode>0.0</c:formatCode>
                <c:ptCount val="5"/>
                <c:pt idx="0">
                  <c:v>19.88949560269012</c:v>
                </c:pt>
                <c:pt idx="1">
                  <c:v>25.67089477726575</c:v>
                </c:pt>
                <c:pt idx="2">
                  <c:v>17.82732909698997</c:v>
                </c:pt>
                <c:pt idx="3">
                  <c:v>35.25742997061704</c:v>
                </c:pt>
                <c:pt idx="4">
                  <c:v>20.56196808510639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070984"/>
        <c:axId val="2057074024"/>
      </c:barChart>
      <c:catAx>
        <c:axId val="2057070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074024"/>
        <c:crosses val="autoZero"/>
        <c:auto val="1"/>
        <c:lblAlgn val="ctr"/>
        <c:lblOffset val="100"/>
        <c:noMultiLvlLbl val="0"/>
      </c:catAx>
      <c:valAx>
        <c:axId val="205707402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070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884774899321"/>
          <c:y val="0.0399821346027769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Rentabilita!$B$14</c:f>
              <c:strCache>
                <c:ptCount val="1"/>
                <c:pt idx="0">
                  <c:v>ROE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Rentabilita!$E$3:$I$3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Rentabilita!$E$14:$I$14</c:f>
              <c:numCache>
                <c:formatCode>0.0</c:formatCode>
                <c:ptCount val="5"/>
                <c:pt idx="0">
                  <c:v>28.03573900232101</c:v>
                </c:pt>
                <c:pt idx="1">
                  <c:v>20.74739840712796</c:v>
                </c:pt>
                <c:pt idx="2">
                  <c:v>15.08612959158083</c:v>
                </c:pt>
                <c:pt idx="3">
                  <c:v>17.53658212613296</c:v>
                </c:pt>
                <c:pt idx="4">
                  <c:v>11.95153927159542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101464"/>
        <c:axId val="2057104504"/>
      </c:barChart>
      <c:catAx>
        <c:axId val="2057101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104504"/>
        <c:crosses val="autoZero"/>
        <c:auto val="1"/>
        <c:lblAlgn val="ctr"/>
        <c:lblOffset val="100"/>
        <c:noMultiLvlLbl val="0"/>
      </c:catAx>
      <c:valAx>
        <c:axId val="205710450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10146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405846673745934"/>
          <c:y val="0.900247084284594"/>
          <c:w val="0.222233709335951"/>
          <c:h val="0.0997529157154067"/>
        </c:manualLayout>
      </c:layout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19"/>
          <c:y val="0.0583013386660463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Likvidita!$B$8</c:f>
              <c:strCache>
                <c:ptCount val="1"/>
                <c:pt idx="0">
                  <c:v>Celková likvidita (1,5 - 2,5)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Likvidita!$C$3:$G$3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Likvidita!$C$8:$G$8</c:f>
              <c:numCache>
                <c:formatCode>0.0</c:formatCode>
                <c:ptCount val="5"/>
                <c:pt idx="0">
                  <c:v>1.503458498023715</c:v>
                </c:pt>
                <c:pt idx="1">
                  <c:v>1.465681556549472</c:v>
                </c:pt>
                <c:pt idx="2">
                  <c:v>1.700603246493749</c:v>
                </c:pt>
                <c:pt idx="3">
                  <c:v>2.085140148392415</c:v>
                </c:pt>
                <c:pt idx="4">
                  <c:v>2.114474061335626</c:v>
                </c:pt>
              </c:numCache>
            </c:numRef>
          </c:val>
        </c:ser>
        <c:ser>
          <c:idx val="1"/>
          <c:order val="1"/>
          <c:tx>
            <c:strRef>
              <c:f>Likvidita!$B$9</c:f>
              <c:strCache>
                <c:ptCount val="1"/>
                <c:pt idx="0">
                  <c:v>Pohotová likvidita (1,1 - 1,5)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Likvidita!$C$3:$G$3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Likvidita!$C$9:$G$9</c:f>
              <c:numCache>
                <c:formatCode>0.0</c:formatCode>
                <c:ptCount val="5"/>
                <c:pt idx="0">
                  <c:v>0.964190582574325</c:v>
                </c:pt>
                <c:pt idx="1">
                  <c:v>0.913057427013154</c:v>
                </c:pt>
                <c:pt idx="2">
                  <c:v>1.002930598108432</c:v>
                </c:pt>
                <c:pt idx="3">
                  <c:v>1.187324814509481</c:v>
                </c:pt>
                <c:pt idx="4">
                  <c:v>1.250654437756759</c:v>
                </c:pt>
              </c:numCache>
            </c:numRef>
          </c:val>
        </c:ser>
        <c:ser>
          <c:idx val="2"/>
          <c:order val="2"/>
          <c:tx>
            <c:strRef>
              <c:f>Likvidita!$B$10</c:f>
              <c:strCache>
                <c:ptCount val="1"/>
                <c:pt idx="0">
                  <c:v>Okamžitá likvidita (0,3 - 0,9)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Likvidita!$C$3:$G$3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Likvidita!$C$10:$G$10</c:f>
              <c:numCache>
                <c:formatCode>0.0</c:formatCode>
                <c:ptCount val="5"/>
                <c:pt idx="0">
                  <c:v>0.397362089706135</c:v>
                </c:pt>
                <c:pt idx="1">
                  <c:v>0.35216743097624</c:v>
                </c:pt>
                <c:pt idx="2">
                  <c:v>0.284800852537632</c:v>
                </c:pt>
                <c:pt idx="3">
                  <c:v>0.294084913437758</c:v>
                </c:pt>
                <c:pt idx="4">
                  <c:v>0.365319575809688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157016"/>
        <c:axId val="2057160136"/>
      </c:barChart>
      <c:catAx>
        <c:axId val="2057157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160136"/>
        <c:crosses val="autoZero"/>
        <c:auto val="1"/>
        <c:lblAlgn val="ctr"/>
        <c:lblOffset val="100"/>
        <c:noMultiLvlLbl val="0"/>
      </c:catAx>
      <c:valAx>
        <c:axId val="2057160136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1570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18"/>
          <c:y val="0.0583013386660463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Aktivita!$B$17</c:f>
              <c:strCache>
                <c:ptCount val="1"/>
                <c:pt idx="0">
                  <c:v>Doba obratu aktiv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Aktivita!$F$3:$I$3</c:f>
              <c:numCache>
                <c:formatCode>General</c:formatCode>
                <c:ptCount val="4"/>
                <c:pt idx="0">
                  <c:v>2003.0</c:v>
                </c:pt>
                <c:pt idx="1">
                  <c:v>2004.0</c:v>
                </c:pt>
                <c:pt idx="2">
                  <c:v>2005.0</c:v>
                </c:pt>
                <c:pt idx="3">
                  <c:v>2006.0</c:v>
                </c:pt>
              </c:numCache>
            </c:numRef>
          </c:cat>
          <c:val>
            <c:numRef>
              <c:f>Aktivita!$F$17:$I$17</c:f>
              <c:numCache>
                <c:formatCode>0.0</c:formatCode>
                <c:ptCount val="4"/>
                <c:pt idx="0">
                  <c:v>230.2828769407492</c:v>
                </c:pt>
                <c:pt idx="1">
                  <c:v>246.0978128797084</c:v>
                </c:pt>
                <c:pt idx="2">
                  <c:v>247.5421515834873</c:v>
                </c:pt>
                <c:pt idx="3">
                  <c:v>269.5326007420886</c:v>
                </c:pt>
              </c:numCache>
            </c:numRef>
          </c:val>
        </c:ser>
        <c:ser>
          <c:idx val="1"/>
          <c:order val="1"/>
          <c:tx>
            <c:strRef>
              <c:f>Aktivita!$B$19</c:f>
              <c:strCache>
                <c:ptCount val="1"/>
                <c:pt idx="0">
                  <c:v>Doba obratu zásob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Aktivita!$F$3:$I$3</c:f>
              <c:numCache>
                <c:formatCode>General</c:formatCode>
                <c:ptCount val="4"/>
                <c:pt idx="0">
                  <c:v>2003.0</c:v>
                </c:pt>
                <c:pt idx="1">
                  <c:v>2004.0</c:v>
                </c:pt>
                <c:pt idx="2">
                  <c:v>2005.0</c:v>
                </c:pt>
                <c:pt idx="3">
                  <c:v>2006.0</c:v>
                </c:pt>
              </c:numCache>
            </c:numRef>
          </c:cat>
          <c:val>
            <c:numRef>
              <c:f>Aktivita!$F$19:$I$19</c:f>
              <c:numCache>
                <c:formatCode>0.0</c:formatCode>
                <c:ptCount val="4"/>
                <c:pt idx="0">
                  <c:v>36.27546596509431</c:v>
                </c:pt>
                <c:pt idx="1">
                  <c:v>40.06379100850547</c:v>
                </c:pt>
                <c:pt idx="2">
                  <c:v>45.9296249057732</c:v>
                </c:pt>
                <c:pt idx="3">
                  <c:v>51.73445402094166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206824"/>
        <c:axId val="2057209864"/>
      </c:barChart>
      <c:catAx>
        <c:axId val="2057206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209864"/>
        <c:crosses val="autoZero"/>
        <c:auto val="1"/>
        <c:lblAlgn val="ctr"/>
        <c:lblOffset val="100"/>
        <c:noMultiLvlLbl val="0"/>
      </c:catAx>
      <c:valAx>
        <c:axId val="205720986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206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18"/>
          <c:y val="0.0583013386660463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Aktivita!$B$21</c:f>
              <c:strCache>
                <c:ptCount val="1"/>
                <c:pt idx="0">
                  <c:v>Doba obratu pohledávek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Aktivita!$F$3:$I$3</c:f>
              <c:numCache>
                <c:formatCode>General</c:formatCode>
                <c:ptCount val="4"/>
                <c:pt idx="0">
                  <c:v>2003.0</c:v>
                </c:pt>
                <c:pt idx="1">
                  <c:v>2004.0</c:v>
                </c:pt>
                <c:pt idx="2">
                  <c:v>2005.0</c:v>
                </c:pt>
                <c:pt idx="3">
                  <c:v>2006.0</c:v>
                </c:pt>
              </c:numCache>
            </c:numRef>
          </c:cat>
          <c:val>
            <c:numRef>
              <c:f>Aktivita!$F$21:$I$21</c:f>
              <c:numCache>
                <c:formatCode>0.0</c:formatCode>
                <c:ptCount val="4"/>
                <c:pt idx="0">
                  <c:v>37.04783784785267</c:v>
                </c:pt>
                <c:pt idx="1">
                  <c:v>40.56500607533415</c:v>
                </c:pt>
                <c:pt idx="2">
                  <c:v>46.06989163520473</c:v>
                </c:pt>
                <c:pt idx="3">
                  <c:v>52.0456649981545</c:v>
                </c:pt>
              </c:numCache>
            </c:numRef>
          </c:val>
        </c:ser>
        <c:ser>
          <c:idx val="1"/>
          <c:order val="1"/>
          <c:tx>
            <c:strRef>
              <c:f>Aktivita!$B$23</c:f>
              <c:strCache>
                <c:ptCount val="1"/>
                <c:pt idx="0">
                  <c:v>Doba obratu závazků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Aktivita!$F$3:$I$3</c:f>
              <c:numCache>
                <c:formatCode>General</c:formatCode>
                <c:ptCount val="4"/>
                <c:pt idx="0">
                  <c:v>2003.0</c:v>
                </c:pt>
                <c:pt idx="1">
                  <c:v>2004.0</c:v>
                </c:pt>
                <c:pt idx="2">
                  <c:v>2005.0</c:v>
                </c:pt>
                <c:pt idx="3">
                  <c:v>2006.0</c:v>
                </c:pt>
              </c:numCache>
            </c:numRef>
          </c:cat>
          <c:val>
            <c:numRef>
              <c:f>Aktivita!$F$23:$I$23</c:f>
              <c:numCache>
                <c:formatCode>0.0</c:formatCode>
                <c:ptCount val="4"/>
                <c:pt idx="0">
                  <c:v>66.39263349019898</c:v>
                </c:pt>
                <c:pt idx="1">
                  <c:v>64.11786148238153</c:v>
                </c:pt>
                <c:pt idx="2">
                  <c:v>57.8637472527123</c:v>
                </c:pt>
                <c:pt idx="3">
                  <c:v>58.77749645468144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245272"/>
        <c:axId val="2057248312"/>
      </c:barChart>
      <c:catAx>
        <c:axId val="205724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248312"/>
        <c:crosses val="autoZero"/>
        <c:auto val="1"/>
        <c:lblAlgn val="ctr"/>
        <c:lblOffset val="100"/>
        <c:noMultiLvlLbl val="0"/>
      </c:catAx>
      <c:valAx>
        <c:axId val="205724831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245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2"/>
          <c:y val="0.0583013386660463"/>
          <c:w val="0.886527832669565"/>
          <c:h val="0.7840519436317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'Bilanční pravidla'!$B$14</c:f>
              <c:strCache>
                <c:ptCount val="1"/>
                <c:pt idx="0">
                  <c:v>DP / DA (%)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'Bilanční pravidla'!$C$3:$G$3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'Bilanční pravidla'!$C$14:$G$14</c:f>
              <c:numCache>
                <c:formatCode>0.0</c:formatCode>
                <c:ptCount val="5"/>
                <c:pt idx="0">
                  <c:v>128.1883353584447</c:v>
                </c:pt>
                <c:pt idx="1">
                  <c:v>121.0159104835717</c:v>
                </c:pt>
                <c:pt idx="2">
                  <c:v>129.6683082657812</c:v>
                </c:pt>
                <c:pt idx="3">
                  <c:v>143.8252837036603</c:v>
                </c:pt>
                <c:pt idx="4">
                  <c:v>144.2779624783178</c:v>
                </c:pt>
              </c:numCache>
            </c:numRef>
          </c:val>
        </c:ser>
        <c:ser>
          <c:idx val="1"/>
          <c:order val="1"/>
          <c:tx>
            <c:strRef>
              <c:f>'Bilanční pravidla'!$B$22</c:f>
              <c:strCache>
                <c:ptCount val="1"/>
                <c:pt idx="0">
                  <c:v>KP / KA (%)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'Bilanční pravidla'!$C$3:$G$3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'Bilanční pravidla'!$C$22:$G$22</c:f>
              <c:numCache>
                <c:formatCode>0.0</c:formatCode>
                <c:ptCount val="5"/>
                <c:pt idx="0">
                  <c:v>66.74026178836145</c:v>
                </c:pt>
                <c:pt idx="1">
                  <c:v>68.51435221101628</c:v>
                </c:pt>
                <c:pt idx="2">
                  <c:v>59.042493427114</c:v>
                </c:pt>
                <c:pt idx="3">
                  <c:v>48.07482710104433</c:v>
                </c:pt>
                <c:pt idx="4">
                  <c:v>47.3465658247087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305464"/>
        <c:axId val="2056301992"/>
      </c:barChart>
      <c:catAx>
        <c:axId val="205630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301992"/>
        <c:crosses val="autoZero"/>
        <c:auto val="1"/>
        <c:lblAlgn val="ctr"/>
        <c:lblOffset val="100"/>
        <c:noMultiLvlLbl val="0"/>
      </c:catAx>
      <c:valAx>
        <c:axId val="205630199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305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21"/>
          <c:y val="0.0583013386660463"/>
          <c:w val="0.78531965997619"/>
          <c:h val="0.703717769584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'Bilanční pravidla'!$B$35</c:f>
              <c:strCache>
                <c:ptCount val="1"/>
                <c:pt idx="0">
                  <c:v>Pari pravidlo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'Bilanční pravidla'!$C$28:$G$28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'Bilanční pravidla'!$C$35:$G$35</c:f>
              <c:numCache>
                <c:formatCode>0.0</c:formatCode>
                <c:ptCount val="5"/>
                <c:pt idx="0">
                  <c:v>139.170453051266</c:v>
                </c:pt>
                <c:pt idx="1">
                  <c:v>133.0043290768732</c:v>
                </c:pt>
                <c:pt idx="2">
                  <c:v>146.2749164278892</c:v>
                </c:pt>
                <c:pt idx="3">
                  <c:v>162.1255634987384</c:v>
                </c:pt>
                <c:pt idx="4">
                  <c:v>170.1148114910624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273704"/>
        <c:axId val="2056270232"/>
      </c:barChart>
      <c:catAx>
        <c:axId val="2056273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270232"/>
        <c:crosses val="autoZero"/>
        <c:auto val="1"/>
        <c:lblAlgn val="ctr"/>
        <c:lblOffset val="100"/>
        <c:noMultiLvlLbl val="0"/>
      </c:catAx>
      <c:valAx>
        <c:axId val="205627023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2737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5" l="0.700000000000001" r="0.700000000000001" t="0.7874015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86054598505139"/>
          <c:y val="0.0289677918397444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Dlouhodobé bankovní úvěry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(výběr)'!$D$32:$E$32,'HA - Rozvaha (výběr)'!$H$32,'HA - Rozvaha (výběr)'!$K$32,'HA - Rozvaha (výběr)'!$N$32)</c:f>
              <c:numCache>
                <c:formatCode>#,##0</c:formatCode>
                <c:ptCount val="5"/>
                <c:pt idx="0">
                  <c:v>4835.0</c:v>
                </c:pt>
                <c:pt idx="1">
                  <c:v>15235.0</c:v>
                </c:pt>
                <c:pt idx="2">
                  <c:v>18206.0</c:v>
                </c:pt>
                <c:pt idx="3">
                  <c:v>10183.0</c:v>
                </c:pt>
                <c:pt idx="4">
                  <c:v>18932.0</c:v>
                </c:pt>
              </c:numCache>
            </c:numRef>
          </c:val>
        </c:ser>
        <c:ser>
          <c:idx val="1"/>
          <c:order val="1"/>
          <c:tx>
            <c:v>Krátkodobé bankovní úvěry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Rozvaha (výběr)'!$D$33:$E$33,'HA - Rozvaha (výběr)'!$H$33,'HA - Rozvaha (výběr)'!$K$33,'HA - Rozvaha (výběr)'!$N$33)</c:f>
              <c:numCache>
                <c:formatCode>#,##0</c:formatCode>
                <c:ptCount val="5"/>
                <c:pt idx="0">
                  <c:v>21725.0</c:v>
                </c:pt>
                <c:pt idx="1">
                  <c:v>29747.0</c:v>
                </c:pt>
                <c:pt idx="2">
                  <c:v>24356.0</c:v>
                </c:pt>
                <c:pt idx="3">
                  <c:v>19358.0</c:v>
                </c:pt>
                <c:pt idx="4">
                  <c:v>22146.0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5307752"/>
        <c:axId val="2055326024"/>
      </c:barChart>
      <c:catAx>
        <c:axId val="2055307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5326024"/>
        <c:crosses val="autoZero"/>
        <c:auto val="1"/>
        <c:lblAlgn val="ctr"/>
        <c:lblOffset val="100"/>
        <c:noMultiLvlLbl val="0"/>
      </c:catAx>
      <c:valAx>
        <c:axId val="205532602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53077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44258191952824"/>
          <c:y val="0.0583013386660463"/>
          <c:w val="0.825787944390163"/>
          <c:h val="0.6724472531062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'Bilanční pravidla'!$B$47</c:f>
              <c:strCache>
                <c:ptCount val="1"/>
                <c:pt idx="0">
                  <c:v>Pravidlo vyrovnání rizika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'Bilanční pravidla'!$C$44:$G$44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'Bilanční pravidla'!$C$47:$G$47</c:f>
              <c:numCache>
                <c:formatCode>0.0</c:formatCode>
                <c:ptCount val="5"/>
                <c:pt idx="0">
                  <c:v>169.8700001783262</c:v>
                </c:pt>
                <c:pt idx="1">
                  <c:v>161.3978431213058</c:v>
                </c:pt>
                <c:pt idx="2">
                  <c:v>175.7381853981666</c:v>
                </c:pt>
                <c:pt idx="3">
                  <c:v>236.2091013524898</c:v>
                </c:pt>
                <c:pt idx="4">
                  <c:v>207.5215766895375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7469032"/>
        <c:axId val="2057472072"/>
      </c:barChart>
      <c:catAx>
        <c:axId val="205746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7472072"/>
        <c:crosses val="autoZero"/>
        <c:auto val="1"/>
        <c:lblAlgn val="ctr"/>
        <c:lblOffset val="100"/>
        <c:noMultiLvlLbl val="0"/>
      </c:catAx>
      <c:valAx>
        <c:axId val="205747207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7469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'Rozklad ROE'!$B$4</c:f>
              <c:strCache>
                <c:ptCount val="1"/>
                <c:pt idx="0">
                  <c:v>Daňová redukce zisku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ROE'!$C$4:$G$4</c:f>
              <c:numCache>
                <c:formatCode>0.00</c:formatCode>
                <c:ptCount val="5"/>
                <c:pt idx="0">
                  <c:v>0.713418635455441</c:v>
                </c:pt>
                <c:pt idx="1">
                  <c:v>0.741433948966073</c:v>
                </c:pt>
                <c:pt idx="2">
                  <c:v>0.791805056006037</c:v>
                </c:pt>
                <c:pt idx="3">
                  <c:v>0.75611485455409</c:v>
                </c:pt>
                <c:pt idx="4">
                  <c:v>0.787548163934724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882424"/>
        <c:axId val="2054885464"/>
      </c:barChart>
      <c:catAx>
        <c:axId val="205488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885464"/>
        <c:crosses val="autoZero"/>
        <c:auto val="1"/>
        <c:lblAlgn val="ctr"/>
        <c:lblOffset val="100"/>
        <c:noMultiLvlLbl val="0"/>
      </c:catAx>
      <c:valAx>
        <c:axId val="205488546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48824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5" l="0.7" r="0.7" t="0.7874015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'Rozklad ROE'!$B$7</c:f>
              <c:strCache>
                <c:ptCount val="1"/>
                <c:pt idx="0">
                  <c:v>Úroková redukce zisku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ROE'!$C$7:$G$7</c:f>
              <c:numCache>
                <c:formatCode>0.00</c:formatCode>
                <c:ptCount val="5"/>
                <c:pt idx="0">
                  <c:v>0.97367763609566</c:v>
                </c:pt>
                <c:pt idx="1">
                  <c:v>0.996738821975732</c:v>
                </c:pt>
                <c:pt idx="2">
                  <c:v>0.963454704113113</c:v>
                </c:pt>
                <c:pt idx="3">
                  <c:v>0.993582947597183</c:v>
                </c:pt>
                <c:pt idx="4">
                  <c:v>0.984598072371151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646280"/>
        <c:axId val="2050337624"/>
      </c:barChart>
      <c:catAx>
        <c:axId val="2050646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0337624"/>
        <c:crosses val="autoZero"/>
        <c:auto val="1"/>
        <c:lblAlgn val="ctr"/>
        <c:lblOffset val="100"/>
        <c:noMultiLvlLbl val="0"/>
      </c:catAx>
      <c:valAx>
        <c:axId val="205033762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0646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'Rozklad ROE'!$B$10</c:f>
              <c:strCache>
                <c:ptCount val="1"/>
                <c:pt idx="0">
                  <c:v>Provozní rentabilita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ROE'!$C$10:$G$10</c:f>
              <c:numCache>
                <c:formatCode>0.00</c:formatCode>
                <c:ptCount val="5"/>
                <c:pt idx="0">
                  <c:v>0.143906135954455</c:v>
                </c:pt>
                <c:pt idx="1">
                  <c:v>0.123850390928966</c:v>
                </c:pt>
                <c:pt idx="2">
                  <c:v>0.0899549648980694</c:v>
                </c:pt>
                <c:pt idx="3">
                  <c:v>0.114496569667399</c:v>
                </c:pt>
                <c:pt idx="4">
                  <c:v>0.0813536479547235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920920"/>
        <c:axId val="2054878568"/>
      </c:barChart>
      <c:catAx>
        <c:axId val="2054920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878568"/>
        <c:crosses val="autoZero"/>
        <c:auto val="1"/>
        <c:lblAlgn val="ctr"/>
        <c:lblOffset val="100"/>
        <c:noMultiLvlLbl val="0"/>
      </c:catAx>
      <c:valAx>
        <c:axId val="205487856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4920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'Rozklad ROE'!$B$13</c:f>
              <c:strCache>
                <c:ptCount val="1"/>
                <c:pt idx="0">
                  <c:v>Obrat aktiv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ROE'!$C$13:$G$13</c:f>
              <c:numCache>
                <c:formatCode>0.00</c:formatCode>
                <c:ptCount val="5"/>
                <c:pt idx="0">
                  <c:v>1.757061775325384</c:v>
                </c:pt>
                <c:pt idx="1">
                  <c:v>1.396792041696212</c:v>
                </c:pt>
                <c:pt idx="2">
                  <c:v>1.398404682116392</c:v>
                </c:pt>
                <c:pt idx="3">
                  <c:v>1.425822543706492</c:v>
                </c:pt>
                <c:pt idx="4">
                  <c:v>1.276378213075461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883992"/>
        <c:axId val="2048887032"/>
      </c:barChart>
      <c:catAx>
        <c:axId val="2048883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8887032"/>
        <c:crosses val="autoZero"/>
        <c:auto val="1"/>
        <c:lblAlgn val="ctr"/>
        <c:lblOffset val="100"/>
        <c:noMultiLvlLbl val="0"/>
      </c:catAx>
      <c:valAx>
        <c:axId val="204888703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488839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'Rozklad ROE'!$B$16</c:f>
              <c:strCache>
                <c:ptCount val="1"/>
                <c:pt idx="0">
                  <c:v>Finanční páka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ROE'!$C$16:$G$16</c:f>
              <c:numCache>
                <c:formatCode>0.00</c:formatCode>
                <c:ptCount val="5"/>
                <c:pt idx="0">
                  <c:v>1.596195274967629</c:v>
                </c:pt>
                <c:pt idx="1">
                  <c:v>1.622858562626946</c:v>
                </c:pt>
                <c:pt idx="2">
                  <c:v>1.572064114246047</c:v>
                </c:pt>
                <c:pt idx="3">
                  <c:v>1.42986521650366</c:v>
                </c:pt>
                <c:pt idx="4">
                  <c:v>1.48433293579162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8530328"/>
        <c:axId val="2050654392"/>
      </c:barChart>
      <c:catAx>
        <c:axId val="2048530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0654392"/>
        <c:crosses val="autoZero"/>
        <c:auto val="1"/>
        <c:lblAlgn val="ctr"/>
        <c:lblOffset val="100"/>
        <c:noMultiLvlLbl val="0"/>
      </c:catAx>
      <c:valAx>
        <c:axId val="205065439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48530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5950756155481"/>
          <c:y val="0.086091347015358"/>
          <c:w val="0.837118026913303"/>
          <c:h val="0.613765929861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'Rozklad ROE'!$B$19</c:f>
              <c:strCache>
                <c:ptCount val="1"/>
                <c:pt idx="0">
                  <c:v>ROE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'Rozklad ROE'!$C$3:$G$3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'Rozklad ROE'!$C$19:$G$19</c:f>
              <c:numCache>
                <c:formatCode>0.00</c:formatCode>
                <c:ptCount val="5"/>
                <c:pt idx="0">
                  <c:v>0.28035739002321</c:v>
                </c:pt>
                <c:pt idx="1">
                  <c:v>0.20747398407128</c:v>
                </c:pt>
                <c:pt idx="2">
                  <c:v>0.150861295915808</c:v>
                </c:pt>
                <c:pt idx="3">
                  <c:v>0.17536582126133</c:v>
                </c:pt>
                <c:pt idx="4">
                  <c:v>0.119515392715954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152328"/>
        <c:axId val="2047928168"/>
      </c:barChart>
      <c:catAx>
        <c:axId val="205015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47928168"/>
        <c:crosses val="autoZero"/>
        <c:auto val="1"/>
        <c:lblAlgn val="ctr"/>
        <c:lblOffset val="100"/>
        <c:noMultiLvlLbl val="0"/>
      </c:catAx>
      <c:valAx>
        <c:axId val="204792816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01523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'Altmanův model'!$B$19</c:f>
              <c:strCache>
                <c:ptCount val="1"/>
                <c:pt idx="0">
                  <c:v>Z - score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model'!$C$19:$G$19</c:f>
              <c:numCache>
                <c:formatCode>0.00</c:formatCode>
                <c:ptCount val="5"/>
                <c:pt idx="0">
                  <c:v>3.845032179415641</c:v>
                </c:pt>
                <c:pt idx="1">
                  <c:v>3.179936424352319</c:v>
                </c:pt>
                <c:pt idx="2">
                  <c:v>3.148984550762798</c:v>
                </c:pt>
                <c:pt idx="3">
                  <c:v>3.652171852009419</c:v>
                </c:pt>
                <c:pt idx="4">
                  <c:v>3.176863722764307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0782936"/>
        <c:axId val="2050721256"/>
      </c:barChart>
      <c:catAx>
        <c:axId val="2050782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0721256"/>
        <c:crosses val="autoZero"/>
        <c:auto val="1"/>
        <c:lblAlgn val="ctr"/>
        <c:lblOffset val="100"/>
        <c:noMultiLvlLbl val="0"/>
      </c:catAx>
      <c:valAx>
        <c:axId val="205072125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07829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896568484495"/>
          <c:y val="0.0893222170758067"/>
          <c:w val="0.816951168141019"/>
          <c:h val="0.669720971225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'Altmanův model'!$B$4</c:f>
              <c:strCache>
                <c:ptCount val="1"/>
                <c:pt idx="0">
                  <c:v>Činitel A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model'!$C$4:$G$4</c:f>
              <c:numCache>
                <c:formatCode>0.00</c:formatCode>
                <c:ptCount val="5"/>
                <c:pt idx="0">
                  <c:v>0.785611073028129</c:v>
                </c:pt>
                <c:pt idx="1">
                  <c:v>0.537489997955561</c:v>
                </c:pt>
                <c:pt idx="2">
                  <c:v>0.390840230797187</c:v>
                </c:pt>
                <c:pt idx="3">
                  <c:v>0.507223312178862</c:v>
                </c:pt>
                <c:pt idx="4">
                  <c:v>0.322624739957848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4964280"/>
        <c:axId val="2054967320"/>
      </c:barChart>
      <c:catAx>
        <c:axId val="205496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967320"/>
        <c:crosses val="autoZero"/>
        <c:auto val="1"/>
        <c:lblAlgn val="ctr"/>
        <c:lblOffset val="100"/>
        <c:noMultiLvlLbl val="0"/>
      </c:catAx>
      <c:valAx>
        <c:axId val="205496732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4964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'Altmanův model'!$B$7</c:f>
              <c:strCache>
                <c:ptCount val="1"/>
                <c:pt idx="0">
                  <c:v>Činitel B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model'!$C$7:$G$7</c:f>
              <c:numCache>
                <c:formatCode>0.00</c:formatCode>
                <c:ptCount val="5"/>
                <c:pt idx="0">
                  <c:v>1.753547651774733</c:v>
                </c:pt>
                <c:pt idx="1">
                  <c:v>1.393998457612819</c:v>
                </c:pt>
                <c:pt idx="2">
                  <c:v>1.395607872752159</c:v>
                </c:pt>
                <c:pt idx="3">
                  <c:v>1.422970898619079</c:v>
                </c:pt>
                <c:pt idx="4">
                  <c:v>1.27382545664931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041832"/>
        <c:axId val="2055044872"/>
      </c:barChart>
      <c:catAx>
        <c:axId val="2055041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5044872"/>
        <c:crosses val="autoZero"/>
        <c:auto val="1"/>
        <c:lblAlgn val="ctr"/>
        <c:lblOffset val="100"/>
        <c:noMultiLvlLbl val="0"/>
      </c:catAx>
      <c:valAx>
        <c:axId val="205504487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5041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821497323092"/>
          <c:y val="0.045091222235964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Tržby za prodej zboží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VZZ (výběr)'!$D$5:$E$5,'HA - VZZ (výběr)'!$H$5,'HA - VZZ (výběr)'!$K$5,'HA - VZZ (výběr)'!$N$5)</c:f>
              <c:numCache>
                <c:formatCode>#,##0</c:formatCode>
                <c:ptCount val="5"/>
                <c:pt idx="0">
                  <c:v>43321.0</c:v>
                </c:pt>
                <c:pt idx="1">
                  <c:v>37245.0</c:v>
                </c:pt>
                <c:pt idx="2">
                  <c:v>42932.0</c:v>
                </c:pt>
                <c:pt idx="3">
                  <c:v>41156.0</c:v>
                </c:pt>
                <c:pt idx="4">
                  <c:v>44963.0</c:v>
                </c:pt>
              </c:numCache>
            </c:numRef>
          </c:val>
        </c:ser>
        <c:ser>
          <c:idx val="1"/>
          <c:order val="1"/>
          <c:tx>
            <c:v>Tržby za prodej vlastních výrobků a služeb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VZZ (výběr)'!$D$9:$E$9,'HA - VZZ (výběr)'!$H$9,'HA - VZZ (výběr)'!$K$9,'HA - VZZ (výběr)'!$N$9)</c:f>
              <c:numCache>
                <c:formatCode>#,##0</c:formatCode>
                <c:ptCount val="5"/>
                <c:pt idx="0">
                  <c:v>223842.0</c:v>
                </c:pt>
                <c:pt idx="1">
                  <c:v>232625.0</c:v>
                </c:pt>
                <c:pt idx="2">
                  <c:v>253348.0</c:v>
                </c:pt>
                <c:pt idx="3">
                  <c:v>273245.0</c:v>
                </c:pt>
                <c:pt idx="4">
                  <c:v>263895.0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49792280"/>
        <c:axId val="2049795368"/>
      </c:barChart>
      <c:catAx>
        <c:axId val="204979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49795368"/>
        <c:crosses val="autoZero"/>
        <c:auto val="1"/>
        <c:lblAlgn val="ctr"/>
        <c:lblOffset val="100"/>
        <c:noMultiLvlLbl val="0"/>
      </c:catAx>
      <c:valAx>
        <c:axId val="2049795368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49792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'Altmanův model'!$B$10</c:f>
              <c:strCache>
                <c:ptCount val="1"/>
                <c:pt idx="0">
                  <c:v>Činitel C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model'!$C$10:$G$10</c:f>
              <c:numCache>
                <c:formatCode>0.00</c:formatCode>
                <c:ptCount val="5"/>
                <c:pt idx="0">
                  <c:v>0.462893986655793</c:v>
                </c:pt>
                <c:pt idx="1">
                  <c:v>0.468627879605811</c:v>
                </c:pt>
                <c:pt idx="2">
                  <c:v>0.490241605130505</c:v>
                </c:pt>
                <c:pt idx="3">
                  <c:v>0.545689313584726</c:v>
                </c:pt>
                <c:pt idx="4">
                  <c:v>0.527982672431606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072120"/>
        <c:axId val="2055075160"/>
      </c:barChart>
      <c:catAx>
        <c:axId val="205507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5075160"/>
        <c:crosses val="autoZero"/>
        <c:auto val="1"/>
        <c:lblAlgn val="ctr"/>
        <c:lblOffset val="100"/>
        <c:noMultiLvlLbl val="0"/>
      </c:catAx>
      <c:valAx>
        <c:axId val="2055075160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50721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'Altmanův model'!$B$13</c:f>
              <c:strCache>
                <c:ptCount val="1"/>
                <c:pt idx="0">
                  <c:v>Činitel D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model'!$C$13:$G$13</c:f>
              <c:numCache>
                <c:formatCode>0.00</c:formatCode>
                <c:ptCount val="5"/>
                <c:pt idx="0">
                  <c:v>0.732461753505913</c:v>
                </c:pt>
                <c:pt idx="1">
                  <c:v>0.688246326322744</c:v>
                </c:pt>
                <c:pt idx="2">
                  <c:v>0.74770395144246</c:v>
                </c:pt>
                <c:pt idx="3">
                  <c:v>1.005086917227895</c:v>
                </c:pt>
                <c:pt idx="4">
                  <c:v>0.879607719582225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7521528"/>
        <c:axId val="2057524584"/>
      </c:barChart>
      <c:catAx>
        <c:axId val="205752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7524584"/>
        <c:crosses val="autoZero"/>
        <c:auto val="1"/>
        <c:lblAlgn val="ctr"/>
        <c:lblOffset val="100"/>
        <c:noMultiLvlLbl val="0"/>
      </c:catAx>
      <c:valAx>
        <c:axId val="2057524584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752152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'Altmanův model'!$B$16</c:f>
              <c:strCache>
                <c:ptCount val="1"/>
                <c:pt idx="0">
                  <c:v>Činitel E</c:v>
                </c:pt>
              </c:strCache>
            </c:strRef>
          </c:tx>
          <c:spPr>
            <a:solidFill>
              <a:srgbClr val="4F81BD">
                <a:lumMod val="60000"/>
                <a:lumOff val="40000"/>
              </a:srgbClr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'Altmanův model'!$C$3:$G$3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'Altmanův model'!$C$16:$G$16</c:f>
              <c:numCache>
                <c:formatCode>0.00</c:formatCode>
                <c:ptCount val="5"/>
                <c:pt idx="0">
                  <c:v>0.110517714451072</c:v>
                </c:pt>
                <c:pt idx="1">
                  <c:v>0.0915737628553831</c:v>
                </c:pt>
                <c:pt idx="2">
                  <c:v>0.124590890640487</c:v>
                </c:pt>
                <c:pt idx="3">
                  <c:v>0.171201410398857</c:v>
                </c:pt>
                <c:pt idx="4">
                  <c:v>0.172823134143318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5097448"/>
        <c:axId val="2055100488"/>
      </c:barChart>
      <c:catAx>
        <c:axId val="2055097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5100488"/>
        <c:crosses val="autoZero"/>
        <c:auto val="1"/>
        <c:lblAlgn val="ctr"/>
        <c:lblOffset val="100"/>
        <c:noMultiLvlLbl val="0"/>
      </c:catAx>
      <c:valAx>
        <c:axId val="2055100488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crossAx val="20550974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Tempo růstu agregovaných tržeb</c:v>
          </c:tx>
          <c:invertIfNegative val="0"/>
          <c:cat>
            <c:strRef>
              <c:f>'HA - VZZ (výběr)'!$D$101:$G$101</c:f>
              <c:strCache>
                <c:ptCount val="4"/>
                <c:pt idx="0">
                  <c:v>2002 - 2003</c:v>
                </c:pt>
                <c:pt idx="1">
                  <c:v>2003 - 2004</c:v>
                </c:pt>
                <c:pt idx="2">
                  <c:v>2004 - 2005</c:v>
                </c:pt>
                <c:pt idx="3">
                  <c:v>2005 - 2006</c:v>
                </c:pt>
              </c:strCache>
            </c:strRef>
          </c:cat>
          <c:val>
            <c:numRef>
              <c:f>('HA - VZZ (výběr)'!$G$31,'HA - VZZ (výběr)'!$J$31,'HA - VZZ (výběr)'!$M$31,'HA - VZZ (výběr)'!$P$31)</c:f>
              <c:numCache>
                <c:formatCode>#\ ##0.0000</c:formatCode>
                <c:ptCount val="4"/>
                <c:pt idx="0">
                  <c:v>0.0156008031949971</c:v>
                </c:pt>
                <c:pt idx="1">
                  <c:v>0.0844991299843506</c:v>
                </c:pt>
                <c:pt idx="2">
                  <c:v>0.0777606232151687</c:v>
                </c:pt>
                <c:pt idx="3">
                  <c:v>-0.0181920322082299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9815864"/>
        <c:axId val="2049745576"/>
      </c:barChart>
      <c:catAx>
        <c:axId val="2049815864"/>
        <c:scaling>
          <c:orientation val="minMax"/>
        </c:scaling>
        <c:delete val="0"/>
        <c:axPos val="b"/>
        <c:majorTickMark val="out"/>
        <c:minorTickMark val="none"/>
        <c:tickLblPos val="nextTo"/>
        <c:crossAx val="2049745576"/>
        <c:crosses val="autoZero"/>
        <c:auto val="1"/>
        <c:lblAlgn val="ctr"/>
        <c:lblOffset val="100"/>
        <c:noMultiLvlLbl val="0"/>
      </c:catAx>
      <c:valAx>
        <c:axId val="2049745576"/>
        <c:scaling>
          <c:orientation val="minMax"/>
        </c:scaling>
        <c:delete val="0"/>
        <c:axPos val="l"/>
        <c:majorGridlines/>
        <c:numFmt formatCode="#\ ##0.0000" sourceLinked="1"/>
        <c:majorTickMark val="out"/>
        <c:minorTickMark val="none"/>
        <c:tickLblPos val="nextTo"/>
        <c:crossAx val="2049815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2188893055035"/>
          <c:y val="0.0207132500045886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Agregované tržby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VZZ (výběr)'!$D$30:$E$30,'HA - VZZ (výběr)'!$H$30,'HA - VZZ (výběr)'!$K$30,'HA - VZZ (výběr)'!$N$30)</c:f>
              <c:numCache>
                <c:formatCode>#,##0</c:formatCode>
                <c:ptCount val="5"/>
                <c:pt idx="0">
                  <c:v>269922.0</c:v>
                </c:pt>
                <c:pt idx="1">
                  <c:v>274133.0</c:v>
                </c:pt>
                <c:pt idx="2">
                  <c:v>297297.0</c:v>
                </c:pt>
                <c:pt idx="3">
                  <c:v>320415.0</c:v>
                </c:pt>
                <c:pt idx="4">
                  <c:v>314586.0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1666456"/>
        <c:axId val="2055231144"/>
      </c:barChart>
      <c:catAx>
        <c:axId val="205166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5231144"/>
        <c:crosses val="autoZero"/>
        <c:auto val="1"/>
        <c:lblAlgn val="ctr"/>
        <c:lblOffset val="100"/>
        <c:noMultiLvlLbl val="0"/>
      </c:catAx>
      <c:valAx>
        <c:axId val="20552311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16664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734361246669265"/>
          <c:y val="0.040437323300353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3"/>
          <c:order val="0"/>
          <c:tx>
            <c:v>Tempo růstu výkonů</c:v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'HA - VZZ (výběr)'!$D$101:$G$101</c:f>
              <c:strCache>
                <c:ptCount val="4"/>
                <c:pt idx="0">
                  <c:v>2002 - 2003</c:v>
                </c:pt>
                <c:pt idx="1">
                  <c:v>2003 - 2004</c:v>
                </c:pt>
                <c:pt idx="2">
                  <c:v>2004 - 2005</c:v>
                </c:pt>
                <c:pt idx="3">
                  <c:v>2005 - 2006</c:v>
                </c:pt>
              </c:strCache>
            </c:strRef>
          </c:cat>
          <c:val>
            <c:numRef>
              <c:f>('HA - VZZ (výběr)'!$G$8,'HA - VZZ (výběr)'!$J$8,'HA - VZZ (výběr)'!$M$8,'HA - VZZ (výběr)'!$P$8)</c:f>
              <c:numCache>
                <c:formatCode>#\ ##0.0</c:formatCode>
                <c:ptCount val="4"/>
                <c:pt idx="0">
                  <c:v>3.973197810650624</c:v>
                </c:pt>
                <c:pt idx="1">
                  <c:v>11.23916473873496</c:v>
                </c:pt>
                <c:pt idx="2">
                  <c:v>7.07352234502643</c:v>
                </c:pt>
                <c:pt idx="3">
                  <c:v>-5.491069024324566</c:v>
                </c:pt>
              </c:numCache>
            </c:numRef>
          </c:val>
        </c:ser>
        <c:ser>
          <c:idx val="0"/>
          <c:order val="1"/>
          <c:tx>
            <c:v>Tempo růstu výkonové spotřeby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'HA - VZZ (výběr)'!$D$101:$G$101</c:f>
              <c:strCache>
                <c:ptCount val="4"/>
                <c:pt idx="0">
                  <c:v>2002 - 2003</c:v>
                </c:pt>
                <c:pt idx="1">
                  <c:v>2003 - 2004</c:v>
                </c:pt>
                <c:pt idx="2">
                  <c:v>2004 - 2005</c:v>
                </c:pt>
                <c:pt idx="3">
                  <c:v>2005 - 2006</c:v>
                </c:pt>
              </c:strCache>
            </c:strRef>
          </c:cat>
          <c:val>
            <c:numRef>
              <c:f>('HA - VZZ (výběr)'!$G$10,'HA - VZZ (výběr)'!$J$10,'HA - VZZ (výběr)'!$M$10,'HA - VZZ (výběr)'!$P$10)</c:f>
              <c:numCache>
                <c:formatCode>#\ ##0.0</c:formatCode>
                <c:ptCount val="4"/>
                <c:pt idx="0">
                  <c:v>4.39731142643764</c:v>
                </c:pt>
                <c:pt idx="1">
                  <c:v>14.30881048444788</c:v>
                </c:pt>
                <c:pt idx="2">
                  <c:v>-0.958132548970524</c:v>
                </c:pt>
                <c:pt idx="3">
                  <c:v>-4.35299098313524</c:v>
                </c:pt>
              </c:numCache>
            </c:numRef>
          </c:val>
        </c:ser>
        <c:ser>
          <c:idx val="1"/>
          <c:order val="2"/>
          <c:tx>
            <c:v>Tempo růstu osobních nákladů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strRef>
              <c:f>'HA - VZZ (výběr)'!$D$101:$G$101</c:f>
              <c:strCache>
                <c:ptCount val="4"/>
                <c:pt idx="0">
                  <c:v>2002 - 2003</c:v>
                </c:pt>
                <c:pt idx="1">
                  <c:v>2003 - 2004</c:v>
                </c:pt>
                <c:pt idx="2">
                  <c:v>2004 - 2005</c:v>
                </c:pt>
                <c:pt idx="3">
                  <c:v>2005 - 2006</c:v>
                </c:pt>
              </c:strCache>
            </c:strRef>
          </c:cat>
          <c:val>
            <c:numRef>
              <c:f>('HA - VZZ (výběr)'!$G$12,'HA - VZZ (výběr)'!$J$12,'HA - VZZ (výběr)'!$M$12,'HA - VZZ (výběr)'!$P$12)</c:f>
              <c:numCache>
                <c:formatCode>#\ ##0.0</c:formatCode>
                <c:ptCount val="4"/>
                <c:pt idx="0">
                  <c:v>11.69277799006497</c:v>
                </c:pt>
                <c:pt idx="1">
                  <c:v>13.88527768274603</c:v>
                </c:pt>
                <c:pt idx="2">
                  <c:v>14.32119039512948</c:v>
                </c:pt>
                <c:pt idx="3">
                  <c:v>6.903860976806096</c:v>
                </c:pt>
              </c:numCache>
            </c:numRef>
          </c:val>
        </c:ser>
        <c:ser>
          <c:idx val="2"/>
          <c:order val="3"/>
          <c:tx>
            <c:v>Tempo růstu přidané hodnoty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strRef>
              <c:f>'HA - VZZ (výběr)'!$D$101:$G$101</c:f>
              <c:strCache>
                <c:ptCount val="4"/>
                <c:pt idx="0">
                  <c:v>2002 - 2003</c:v>
                </c:pt>
                <c:pt idx="1">
                  <c:v>2003 - 2004</c:v>
                </c:pt>
                <c:pt idx="2">
                  <c:v>2004 - 2005</c:v>
                </c:pt>
                <c:pt idx="3">
                  <c:v>2005 - 2006</c:v>
                </c:pt>
              </c:strCache>
            </c:strRef>
          </c:cat>
          <c:val>
            <c:numRef>
              <c:f>('HA - VZZ (výběr)'!$G$11,'HA - VZZ (výběr)'!$J$11,'HA - VZZ (výběr)'!$M$11,'HA - VZZ (výběr)'!$P$11)</c:f>
              <c:numCache>
                <c:formatCode>#\ ##0.0</c:formatCode>
                <c:ptCount val="4"/>
                <c:pt idx="0">
                  <c:v>7.969237968322432</c:v>
                </c:pt>
                <c:pt idx="1">
                  <c:v>8.468300404194579</c:v>
                </c:pt>
                <c:pt idx="2">
                  <c:v>17.23257328990228</c:v>
                </c:pt>
                <c:pt idx="3">
                  <c:v>-5.98159509202454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431048"/>
        <c:axId val="2056434088"/>
      </c:barChart>
      <c:catAx>
        <c:axId val="2056431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434088"/>
        <c:crosses val="autoZero"/>
        <c:auto val="1"/>
        <c:lblAlgn val="ctr"/>
        <c:lblOffset val="100"/>
        <c:noMultiLvlLbl val="0"/>
      </c:catAx>
      <c:valAx>
        <c:axId val="2056434088"/>
        <c:scaling>
          <c:orientation val="minMax"/>
        </c:scaling>
        <c:delete val="0"/>
        <c:axPos val="l"/>
        <c:numFmt formatCode="#\ ##0.0" sourceLinked="1"/>
        <c:majorTickMark val="none"/>
        <c:minorTickMark val="none"/>
        <c:tickLblPos val="nextTo"/>
        <c:crossAx val="2056431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688454516955872"/>
          <c:y val="0.0140140313786078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v>Odpisy DNHM a DHM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VZZ (výběr)'!$D$14,'HA - VZZ (výběr)'!$E$14,'HA - VZZ (výběr)'!$H$14,'HA - VZZ (výběr)'!$K$14,'HA - VZZ (výběr)'!$N$14)</c:f>
              <c:numCache>
                <c:formatCode>#,##0</c:formatCode>
                <c:ptCount val="5"/>
                <c:pt idx="0">
                  <c:v>9996.0</c:v>
                </c:pt>
                <c:pt idx="1">
                  <c:v>12345.0</c:v>
                </c:pt>
                <c:pt idx="2">
                  <c:v>17021.0</c:v>
                </c:pt>
                <c:pt idx="3">
                  <c:v>18145.0</c:v>
                </c:pt>
                <c:pt idx="4">
                  <c:v>17121.0</c:v>
                </c:pt>
              </c:numCache>
            </c:numRef>
          </c:val>
        </c:ser>
        <c:ser>
          <c:idx val="1"/>
          <c:order val="1"/>
          <c:tx>
            <c:v>VH za účetní období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dLbls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24</a:t>
                    </a:r>
                    <a:r>
                      <a:rPr lang="cs-CZ"/>
                      <a:t> </a:t>
                    </a:r>
                    <a:r>
                      <a:rPr lang="en-US"/>
                      <a:t>70</a:t>
                    </a:r>
                    <a:r>
                      <a:rPr lang="cs-CZ"/>
                      <a:t>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5.80621426684067E-17"/>
                  <c:y val="-0.040143360112130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'HA - Rozvaha (výběr)'!$J$38:$N$38</c:f>
              <c:numCache>
                <c:formatCode>General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('HA - VZZ (výběr)'!$D$27,'HA - VZZ (výběr)'!$E$27,'HA - VZZ (výběr)'!$H$27,'HA - VZZ (výběr)'!$K$27,'HA - VZZ (výběr)'!$N$27)</c:f>
              <c:numCache>
                <c:formatCode>#,##0</c:formatCode>
                <c:ptCount val="5"/>
                <c:pt idx="0">
                  <c:v>26706.395</c:v>
                </c:pt>
                <c:pt idx="1">
                  <c:v>24700.505</c:v>
                </c:pt>
                <c:pt idx="2">
                  <c:v>20331.857</c:v>
                </c:pt>
                <c:pt idx="3">
                  <c:v>27043.836</c:v>
                </c:pt>
                <c:pt idx="4">
                  <c:v>19483.72500000001</c:v>
                </c:pt>
              </c:numCache>
            </c:numRef>
          </c:val>
        </c:ser>
        <c:ser>
          <c:idx val="2"/>
          <c:order val="2"/>
          <c:tx>
            <c:v>Vlastní zdroje financování CELKEM</c:v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val>
            <c:numRef>
              <c:f>('HA - VZZ (výběr)'!$D$32:$E$32,'HA - VZZ (výběr)'!$H$32,'HA - VZZ (výběr)'!$K$32,'HA - VZZ (výběr)'!$N$32)</c:f>
              <c:numCache>
                <c:formatCode>#,##0</c:formatCode>
                <c:ptCount val="5"/>
                <c:pt idx="0">
                  <c:v>36702.395</c:v>
                </c:pt>
                <c:pt idx="1">
                  <c:v>37045.505</c:v>
                </c:pt>
                <c:pt idx="2">
                  <c:v>37352.857</c:v>
                </c:pt>
                <c:pt idx="3">
                  <c:v>45188.836</c:v>
                </c:pt>
                <c:pt idx="4">
                  <c:v>36604.72500000001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477592"/>
        <c:axId val="2056480712"/>
      </c:barChart>
      <c:catAx>
        <c:axId val="205647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056480712"/>
        <c:crosses val="autoZero"/>
        <c:auto val="1"/>
        <c:lblAlgn val="ctr"/>
        <c:lblOffset val="100"/>
        <c:noMultiLvlLbl val="0"/>
      </c:catAx>
      <c:valAx>
        <c:axId val="2056480712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20564775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5" l="0.700000000000001" r="0.700000000000001" t="0.7874015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95804583705387"/>
          <c:y val="0.0158234704529822"/>
          <c:w val="0.899397924244241"/>
          <c:h val="0.8272772099958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'VA - Rozvaha (výběr)'!$C$6</c:f>
              <c:strCache>
                <c:ptCount val="1"/>
                <c:pt idx="0">
                  <c:v>Dlouhodobý majetek 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(výběr)'!$E$6,'VA - Rozvaha (výběr)'!$G$6,'VA - Rozvaha (výběr)'!$I$6,'VA - Rozvaha (výběr)'!$K$6,'VA - Rozvaha (výběr)'!$M$6)</c:f>
              <c:numCache>
                <c:formatCode>0.0</c:formatCode>
                <c:ptCount val="5"/>
                <c:pt idx="0">
                  <c:v>51.28016257703008</c:v>
                </c:pt>
                <c:pt idx="1">
                  <c:v>57.08178275114256</c:v>
                </c:pt>
                <c:pt idx="2">
                  <c:v>54.88082314626894</c:v>
                </c:pt>
                <c:pt idx="3">
                  <c:v>50.74125303281105</c:v>
                </c:pt>
                <c:pt idx="4">
                  <c:v>50.43929250351269</c:v>
                </c:pt>
              </c:numCache>
            </c:numRef>
          </c:val>
        </c:ser>
        <c:ser>
          <c:idx val="1"/>
          <c:order val="1"/>
          <c:tx>
            <c:strRef>
              <c:f>'VA - Rozvaha (výběr)'!$C$10</c:f>
              <c:strCache>
                <c:ptCount val="1"/>
                <c:pt idx="0">
                  <c:v>Oběžná aktiva                   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(výběr)'!$E$10,'VA - Rozvaha (výběr)'!$G$10,'VA - Rozvaha (výběr)'!$I$10,'VA - Rozvaha (výběr)'!$K$10,'VA - Rozvaha (výběr)'!$M$10)</c:f>
              <c:numCache>
                <c:formatCode>0.0</c:formatCode>
                <c:ptCount val="5"/>
                <c:pt idx="0">
                  <c:v>46.02995047714254</c:v>
                </c:pt>
                <c:pt idx="1">
                  <c:v>40.19781891960436</c:v>
                </c:pt>
                <c:pt idx="2">
                  <c:v>42.1791664700052</c:v>
                </c:pt>
                <c:pt idx="3">
                  <c:v>45.88149928573048</c:v>
                </c:pt>
                <c:pt idx="4">
                  <c:v>45.73146541036449</c:v>
                </c:pt>
              </c:numCache>
            </c:numRef>
          </c:val>
        </c:ser>
        <c:ser>
          <c:idx val="2"/>
          <c:order val="2"/>
          <c:tx>
            <c:strRef>
              <c:f>'VA - Rozvaha (výběr)'!$C$11</c:f>
              <c:strCache>
                <c:ptCount val="1"/>
                <c:pt idx="0">
                  <c:v>Zásoby                             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(výběr)'!$E$11,'VA - Rozvaha (výběr)'!$G$11,'VA - Rozvaha (výběr)'!$I$11,'VA - Rozvaha (výběr)'!$K$11,'VA - Rozvaha (výběr)'!$M$11)</c:f>
              <c:numCache>
                <c:formatCode>0.0</c:formatCode>
                <c:ptCount val="5"/>
                <c:pt idx="0">
                  <c:v>16.51024985037915</c:v>
                </c:pt>
                <c:pt idx="1">
                  <c:v>15.15628315744254</c:v>
                </c:pt>
                <c:pt idx="2">
                  <c:v>17.3040071742106</c:v>
                </c:pt>
                <c:pt idx="3">
                  <c:v>19.75556109838779</c:v>
                </c:pt>
                <c:pt idx="4">
                  <c:v>18.68253574675593</c:v>
                </c:pt>
              </c:numCache>
            </c:numRef>
          </c:val>
        </c:ser>
        <c:ser>
          <c:idx val="3"/>
          <c:order val="3"/>
          <c:tx>
            <c:strRef>
              <c:f>'VA - Rozvaha (výběr)'!$C$13</c:f>
              <c:strCache>
                <c:ptCount val="1"/>
                <c:pt idx="0">
                  <c:v>Krátkodobé pohledávky            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.0"/>
                  <c:y val="-0.021238934106532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0"/>
                  <c:y val="-0.028318578808709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0"/>
                  <c:y val="-0.028318578808709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00343642611683849"/>
                  <c:y val="-0.0259586972413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6000835378345E-16"/>
                  <c:y val="-0.028318578808709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'VA - Rozvaha (výběr)'!$E$36:$I$36</c:f>
              <c:numCache>
                <c:formatCode>0</c:formatCode>
                <c:ptCount val="5"/>
                <c:pt idx="0">
                  <c:v>2002.0</c:v>
                </c:pt>
                <c:pt idx="1">
                  <c:v>2003.0</c:v>
                </c:pt>
                <c:pt idx="2">
                  <c:v>2004.0</c:v>
                </c:pt>
                <c:pt idx="3">
                  <c:v>2005.0</c:v>
                </c:pt>
                <c:pt idx="4">
                  <c:v>2006.0</c:v>
                </c:pt>
              </c:numCache>
            </c:numRef>
          </c:cat>
          <c:val>
            <c:numRef>
              <c:f>('VA - Rozvaha (výběr)'!$E$13,'VA - Rozvaha (výběr)'!$G$13,'VA - Rozvaha (výběr)'!$I$13,'VA - Rozvaha (výběr)'!$K$13,'VA - Rozvaha (výběr)'!$M$13)</c:f>
              <c:numCache>
                <c:formatCode>0.0</c:formatCode>
                <c:ptCount val="5"/>
                <c:pt idx="0">
                  <c:v>17.1975192534084</c:v>
                </c:pt>
                <c:pt idx="1">
                  <c:v>15.21476965120311</c:v>
                </c:pt>
                <c:pt idx="2">
                  <c:v>17.64006230235521</c:v>
                </c:pt>
                <c:pt idx="3">
                  <c:v>19.54377451758464</c:v>
                </c:pt>
                <c:pt idx="4">
                  <c:v>19.09620629804116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056526936"/>
        <c:axId val="2056529784"/>
      </c:barChart>
      <c:catAx>
        <c:axId val="205652693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2056529784"/>
        <c:crosses val="autoZero"/>
        <c:auto val="1"/>
        <c:lblAlgn val="ctr"/>
        <c:lblOffset val="100"/>
        <c:noMultiLvlLbl val="0"/>
      </c:catAx>
      <c:valAx>
        <c:axId val="2056529784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crossAx val="2056526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7113402061856"/>
          <c:y val="0.914848597802969"/>
          <c:w val="0.552920962199313"/>
          <c:h val="0.0521130602535368"/>
        </c:manualLayout>
      </c:layout>
      <c:overlay val="0"/>
      <c:txPr>
        <a:bodyPr/>
        <a:lstStyle/>
        <a:p>
          <a:pPr>
            <a:defRPr i="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i="1"/>
      </a:pPr>
      <a:endParaRPr lang="en-US"/>
    </a:p>
  </c:txPr>
  <c:printSettings>
    <c:headerFooter/>
    <c:pageMargins b="0.787401575" l="0.700000000000001" r="0.700000000000001" t="0.7874015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Relationship Id="rId2" Type="http://schemas.openxmlformats.org/officeDocument/2006/relationships/chart" Target="../charts/chart29.xml"/><Relationship Id="rId3" Type="http://schemas.openxmlformats.org/officeDocument/2006/relationships/chart" Target="../charts/chart3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4" Type="http://schemas.openxmlformats.org/officeDocument/2006/relationships/chart" Target="../charts/chart34.xml"/><Relationship Id="rId5" Type="http://schemas.openxmlformats.org/officeDocument/2006/relationships/chart" Target="../charts/chart35.xml"/><Relationship Id="rId6" Type="http://schemas.openxmlformats.org/officeDocument/2006/relationships/chart" Target="../charts/chart36.xml"/><Relationship Id="rId1" Type="http://schemas.openxmlformats.org/officeDocument/2006/relationships/chart" Target="../charts/chart31.xml"/><Relationship Id="rId2" Type="http://schemas.openxmlformats.org/officeDocument/2006/relationships/chart" Target="../charts/chart32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4" Type="http://schemas.openxmlformats.org/officeDocument/2006/relationships/chart" Target="../charts/chart40.xml"/><Relationship Id="rId5" Type="http://schemas.openxmlformats.org/officeDocument/2006/relationships/chart" Target="../charts/chart41.xml"/><Relationship Id="rId6" Type="http://schemas.openxmlformats.org/officeDocument/2006/relationships/chart" Target="../charts/chart42.xml"/><Relationship Id="rId1" Type="http://schemas.openxmlformats.org/officeDocument/2006/relationships/chart" Target="../charts/chart37.xml"/><Relationship Id="rId2" Type="http://schemas.openxmlformats.org/officeDocument/2006/relationships/chart" Target="../charts/chart3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4" Type="http://schemas.openxmlformats.org/officeDocument/2006/relationships/chart" Target="../charts/chart7.xml"/><Relationship Id="rId5" Type="http://schemas.openxmlformats.org/officeDocument/2006/relationships/chart" Target="../charts/chart8.xml"/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Relationship Id="rId3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4" Type="http://schemas.openxmlformats.org/officeDocument/2006/relationships/chart" Target="../charts/chart19.xml"/><Relationship Id="rId5" Type="http://schemas.openxmlformats.org/officeDocument/2006/relationships/chart" Target="../charts/chart20.xml"/><Relationship Id="rId1" Type="http://schemas.openxmlformats.org/officeDocument/2006/relationships/chart" Target="../charts/chart16.xml"/><Relationship Id="rId2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4" Type="http://schemas.openxmlformats.org/officeDocument/2006/relationships/chart" Target="../charts/chart24.xml"/><Relationship Id="rId1" Type="http://schemas.openxmlformats.org/officeDocument/2006/relationships/chart" Target="../charts/chart21.xml"/><Relationship Id="rId2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36</xdr:row>
      <xdr:rowOff>28574</xdr:rowOff>
    </xdr:from>
    <xdr:to>
      <xdr:col>4</xdr:col>
      <xdr:colOff>323850</xdr:colOff>
      <xdr:row>61</xdr:row>
      <xdr:rowOff>76200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36</xdr:row>
      <xdr:rowOff>19050</xdr:rowOff>
    </xdr:from>
    <xdr:to>
      <xdr:col>18</xdr:col>
      <xdr:colOff>409575</xdr:colOff>
      <xdr:row>64</xdr:row>
      <xdr:rowOff>152400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47625</xdr:colOff>
      <xdr:row>65</xdr:row>
      <xdr:rowOff>95250</xdr:rowOff>
    </xdr:from>
    <xdr:to>
      <xdr:col>4</xdr:col>
      <xdr:colOff>323850</xdr:colOff>
      <xdr:row>91</xdr:row>
      <xdr:rowOff>9525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2</xdr:row>
      <xdr:rowOff>9525</xdr:rowOff>
    </xdr:from>
    <xdr:to>
      <xdr:col>16</xdr:col>
      <xdr:colOff>38100</xdr:colOff>
      <xdr:row>22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9524</xdr:colOff>
      <xdr:row>26</xdr:row>
      <xdr:rowOff>180976</xdr:rowOff>
    </xdr:from>
    <xdr:to>
      <xdr:col>13</xdr:col>
      <xdr:colOff>552449</xdr:colOff>
      <xdr:row>38</xdr:row>
      <xdr:rowOff>85725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590549</xdr:colOff>
      <xdr:row>43</xdr:row>
      <xdr:rowOff>0</xdr:rowOff>
    </xdr:from>
    <xdr:to>
      <xdr:col>14</xdr:col>
      <xdr:colOff>238124</xdr:colOff>
      <xdr:row>54</xdr:row>
      <xdr:rowOff>123825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2</xdr:row>
      <xdr:rowOff>0</xdr:rowOff>
    </xdr:from>
    <xdr:to>
      <xdr:col>12</xdr:col>
      <xdr:colOff>581025</xdr:colOff>
      <xdr:row>16</xdr:row>
      <xdr:rowOff>28575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533401</xdr:colOff>
      <xdr:row>2</xdr:row>
      <xdr:rowOff>9525</xdr:rowOff>
    </xdr:from>
    <xdr:to>
      <xdr:col>18</xdr:col>
      <xdr:colOff>361951</xdr:colOff>
      <xdr:row>16</xdr:row>
      <xdr:rowOff>9525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17</xdr:row>
      <xdr:rowOff>1</xdr:rowOff>
    </xdr:from>
    <xdr:to>
      <xdr:col>12</xdr:col>
      <xdr:colOff>581025</xdr:colOff>
      <xdr:row>28</xdr:row>
      <xdr:rowOff>161925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552451</xdr:colOff>
      <xdr:row>17</xdr:row>
      <xdr:rowOff>1</xdr:rowOff>
    </xdr:from>
    <xdr:to>
      <xdr:col>18</xdr:col>
      <xdr:colOff>361951</xdr:colOff>
      <xdr:row>29</xdr:row>
      <xdr:rowOff>19051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30</xdr:row>
      <xdr:rowOff>171450</xdr:rowOff>
    </xdr:from>
    <xdr:to>
      <xdr:col>12</xdr:col>
      <xdr:colOff>581025</xdr:colOff>
      <xdr:row>43</xdr:row>
      <xdr:rowOff>95250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552450</xdr:colOff>
      <xdr:row>30</xdr:row>
      <xdr:rowOff>142875</xdr:rowOff>
    </xdr:from>
    <xdr:to>
      <xdr:col>18</xdr:col>
      <xdr:colOff>419100</xdr:colOff>
      <xdr:row>43</xdr:row>
      <xdr:rowOff>76200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276225</xdr:colOff>
      <xdr:row>34</xdr:row>
      <xdr:rowOff>19050</xdr:rowOff>
    </xdr:from>
    <xdr:to>
      <xdr:col>17</xdr:col>
      <xdr:colOff>590550</xdr:colOff>
      <xdr:row>48</xdr:row>
      <xdr:rowOff>66675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2</xdr:row>
      <xdr:rowOff>9525</xdr:rowOff>
    </xdr:from>
    <xdr:to>
      <xdr:col>12</xdr:col>
      <xdr:colOff>552450</xdr:colOff>
      <xdr:row>15</xdr:row>
      <xdr:rowOff>114300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190500</xdr:colOff>
      <xdr:row>2</xdr:row>
      <xdr:rowOff>9525</xdr:rowOff>
    </xdr:from>
    <xdr:to>
      <xdr:col>17</xdr:col>
      <xdr:colOff>571500</xdr:colOff>
      <xdr:row>15</xdr:row>
      <xdr:rowOff>133350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542924</xdr:colOff>
      <xdr:row>16</xdr:row>
      <xdr:rowOff>38100</xdr:rowOff>
    </xdr:from>
    <xdr:to>
      <xdr:col>12</xdr:col>
      <xdr:colOff>533399</xdr:colOff>
      <xdr:row>31</xdr:row>
      <xdr:rowOff>161925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190500</xdr:colOff>
      <xdr:row>16</xdr:row>
      <xdr:rowOff>38100</xdr:rowOff>
    </xdr:from>
    <xdr:to>
      <xdr:col>17</xdr:col>
      <xdr:colOff>600075</xdr:colOff>
      <xdr:row>31</xdr:row>
      <xdr:rowOff>180975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504825</xdr:colOff>
      <xdr:row>34</xdr:row>
      <xdr:rowOff>9525</xdr:rowOff>
    </xdr:from>
    <xdr:to>
      <xdr:col>12</xdr:col>
      <xdr:colOff>561975</xdr:colOff>
      <xdr:row>48</xdr:row>
      <xdr:rowOff>38100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34</xdr:row>
      <xdr:rowOff>95249</xdr:rowOff>
    </xdr:from>
    <xdr:to>
      <xdr:col>7</xdr:col>
      <xdr:colOff>257175</xdr:colOff>
      <xdr:row>63</xdr:row>
      <xdr:rowOff>28574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657224</xdr:colOff>
      <xdr:row>34</xdr:row>
      <xdr:rowOff>66674</xdr:rowOff>
    </xdr:from>
    <xdr:to>
      <xdr:col>29</xdr:col>
      <xdr:colOff>104775</xdr:colOff>
      <xdr:row>58</xdr:row>
      <xdr:rowOff>57149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28575</xdr:colOff>
      <xdr:row>34</xdr:row>
      <xdr:rowOff>95249</xdr:rowOff>
    </xdr:from>
    <xdr:to>
      <xdr:col>18</xdr:col>
      <xdr:colOff>352425</xdr:colOff>
      <xdr:row>55</xdr:row>
      <xdr:rowOff>180974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0</xdr:colOff>
      <xdr:row>69</xdr:row>
      <xdr:rowOff>0</xdr:rowOff>
    </xdr:from>
    <xdr:to>
      <xdr:col>7</xdr:col>
      <xdr:colOff>257174</xdr:colOff>
      <xdr:row>97</xdr:row>
      <xdr:rowOff>123825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19050</xdr:colOff>
      <xdr:row>68</xdr:row>
      <xdr:rowOff>95249</xdr:rowOff>
    </xdr:from>
    <xdr:to>
      <xdr:col>21</xdr:col>
      <xdr:colOff>19050</xdr:colOff>
      <xdr:row>97</xdr:row>
      <xdr:rowOff>104774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38</xdr:row>
      <xdr:rowOff>0</xdr:rowOff>
    </xdr:from>
    <xdr:to>
      <xdr:col>8</xdr:col>
      <xdr:colOff>38100</xdr:colOff>
      <xdr:row>66</xdr:row>
      <xdr:rowOff>47626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68</xdr:row>
      <xdr:rowOff>0</xdr:rowOff>
    </xdr:from>
    <xdr:to>
      <xdr:col>8</xdr:col>
      <xdr:colOff>38100</xdr:colOff>
      <xdr:row>96</xdr:row>
      <xdr:rowOff>47626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60</xdr:row>
      <xdr:rowOff>0</xdr:rowOff>
    </xdr:from>
    <xdr:to>
      <xdr:col>9</xdr:col>
      <xdr:colOff>209550</xdr:colOff>
      <xdr:row>88</xdr:row>
      <xdr:rowOff>47626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92</xdr:row>
      <xdr:rowOff>0</xdr:rowOff>
    </xdr:from>
    <xdr:to>
      <xdr:col>10</xdr:col>
      <xdr:colOff>133350</xdr:colOff>
      <xdr:row>120</xdr:row>
      <xdr:rowOff>47626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266701</xdr:colOff>
      <xdr:row>16</xdr:row>
      <xdr:rowOff>180974</xdr:rowOff>
    </xdr:from>
    <xdr:to>
      <xdr:col>7</xdr:col>
      <xdr:colOff>390525</xdr:colOff>
      <xdr:row>42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19</xdr:col>
      <xdr:colOff>161925</xdr:colOff>
      <xdr:row>44</xdr:row>
      <xdr:rowOff>47626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323850</xdr:colOff>
      <xdr:row>58</xdr:row>
      <xdr:rowOff>76200</xdr:rowOff>
    </xdr:from>
    <xdr:to>
      <xdr:col>19</xdr:col>
      <xdr:colOff>142875</xdr:colOff>
      <xdr:row>86</xdr:row>
      <xdr:rowOff>123826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20</xdr:row>
      <xdr:rowOff>76201</xdr:rowOff>
    </xdr:from>
    <xdr:to>
      <xdr:col>11</xdr:col>
      <xdr:colOff>247649</xdr:colOff>
      <xdr:row>45</xdr:row>
      <xdr:rowOff>57150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361950</xdr:colOff>
      <xdr:row>80</xdr:row>
      <xdr:rowOff>142875</xdr:rowOff>
    </xdr:from>
    <xdr:to>
      <xdr:col>10</xdr:col>
      <xdr:colOff>561975</xdr:colOff>
      <xdr:row>107</xdr:row>
      <xdr:rowOff>57150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38100</xdr:colOff>
      <xdr:row>47</xdr:row>
      <xdr:rowOff>171450</xdr:rowOff>
    </xdr:from>
    <xdr:to>
      <xdr:col>23</xdr:col>
      <xdr:colOff>47625</xdr:colOff>
      <xdr:row>76</xdr:row>
      <xdr:rowOff>28576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123825</xdr:colOff>
      <xdr:row>80</xdr:row>
      <xdr:rowOff>161925</xdr:rowOff>
    </xdr:from>
    <xdr:to>
      <xdr:col>23</xdr:col>
      <xdr:colOff>114300</xdr:colOff>
      <xdr:row>108</xdr:row>
      <xdr:rowOff>133350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47</xdr:row>
      <xdr:rowOff>123825</xdr:rowOff>
    </xdr:from>
    <xdr:to>
      <xdr:col>10</xdr:col>
      <xdr:colOff>523875</xdr:colOff>
      <xdr:row>75</xdr:row>
      <xdr:rowOff>66675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27</xdr:row>
      <xdr:rowOff>142875</xdr:rowOff>
    </xdr:from>
    <xdr:to>
      <xdr:col>8</xdr:col>
      <xdr:colOff>781050</xdr:colOff>
      <xdr:row>53</xdr:row>
      <xdr:rowOff>85725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38100</xdr:colOff>
      <xdr:row>27</xdr:row>
      <xdr:rowOff>28575</xdr:rowOff>
    </xdr:from>
    <xdr:to>
      <xdr:col>20</xdr:col>
      <xdr:colOff>485776</xdr:colOff>
      <xdr:row>52</xdr:row>
      <xdr:rowOff>133350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38100</xdr:colOff>
      <xdr:row>56</xdr:row>
      <xdr:rowOff>180974</xdr:rowOff>
    </xdr:from>
    <xdr:to>
      <xdr:col>8</xdr:col>
      <xdr:colOff>647700</xdr:colOff>
      <xdr:row>80</xdr:row>
      <xdr:rowOff>57150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57</xdr:row>
      <xdr:rowOff>0</xdr:rowOff>
    </xdr:from>
    <xdr:to>
      <xdr:col>18</xdr:col>
      <xdr:colOff>85725</xdr:colOff>
      <xdr:row>77</xdr:row>
      <xdr:rowOff>161924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12</xdr:row>
      <xdr:rowOff>104775</xdr:rowOff>
    </xdr:from>
    <xdr:to>
      <xdr:col>10</xdr:col>
      <xdr:colOff>219075</xdr:colOff>
      <xdr:row>40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25</xdr:row>
      <xdr:rowOff>9525</xdr:rowOff>
    </xdr:from>
    <xdr:to>
      <xdr:col>13</xdr:col>
      <xdr:colOff>114300</xdr:colOff>
      <xdr:row>53</xdr:row>
      <xdr:rowOff>57151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</xdr:colOff>
      <xdr:row>56</xdr:row>
      <xdr:rowOff>123825</xdr:rowOff>
    </xdr:from>
    <xdr:to>
      <xdr:col>13</xdr:col>
      <xdr:colOff>133350</xdr:colOff>
      <xdr:row>84</xdr:row>
      <xdr:rowOff>171451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5"/>
  <sheetViews>
    <sheetView topLeftCell="B103" workbookViewId="0">
      <selection activeCell="L24" sqref="L24"/>
    </sheetView>
  </sheetViews>
  <sheetFormatPr baseColWidth="10" defaultColWidth="8.83203125" defaultRowHeight="14" x14ac:dyDescent="0"/>
  <cols>
    <col min="3" max="3" width="59.33203125" customWidth="1"/>
  </cols>
  <sheetData>
    <row r="1" spans="2:8">
      <c r="B1" s="16" t="s">
        <v>259</v>
      </c>
      <c r="C1" s="16" t="s">
        <v>257</v>
      </c>
    </row>
    <row r="2" spans="2:8" ht="15" thickBot="1"/>
    <row r="3" spans="2:8" ht="15" thickBot="1">
      <c r="B3" s="254" t="s">
        <v>0</v>
      </c>
      <c r="C3" s="319" t="s">
        <v>101</v>
      </c>
      <c r="D3" s="256">
        <v>2002</v>
      </c>
      <c r="E3" s="256">
        <v>2003</v>
      </c>
      <c r="F3" s="256">
        <v>2004</v>
      </c>
      <c r="G3" s="256">
        <v>2005</v>
      </c>
      <c r="H3" s="256">
        <v>2006</v>
      </c>
    </row>
    <row r="4" spans="2:8" ht="15" thickBot="1">
      <c r="B4" s="4"/>
      <c r="C4" s="21" t="s">
        <v>102</v>
      </c>
      <c r="D4" s="23">
        <f>D5+D6+D34+D66</f>
        <v>152051</v>
      </c>
      <c r="E4" s="23">
        <f t="shared" ref="E4:H4" si="0">E5+E6+E34+E66</f>
        <v>193207</v>
      </c>
      <c r="F4" s="23">
        <f t="shared" si="0"/>
        <v>211870</v>
      </c>
      <c r="G4" s="23">
        <f t="shared" si="0"/>
        <v>220505</v>
      </c>
      <c r="H4" s="23">
        <f t="shared" si="0"/>
        <v>241980</v>
      </c>
    </row>
    <row r="5" spans="2:8" ht="15" thickBot="1">
      <c r="B5" s="15" t="s">
        <v>3</v>
      </c>
      <c r="C5" s="21" t="s">
        <v>103</v>
      </c>
      <c r="D5" s="20">
        <v>0</v>
      </c>
      <c r="E5" s="20">
        <v>0</v>
      </c>
      <c r="F5" s="19">
        <v>0</v>
      </c>
      <c r="G5" s="20">
        <v>0</v>
      </c>
      <c r="H5" s="20">
        <v>0</v>
      </c>
    </row>
    <row r="6" spans="2:8" ht="15" thickBot="1">
      <c r="B6" s="15" t="s">
        <v>15</v>
      </c>
      <c r="C6" s="21" t="s">
        <v>104</v>
      </c>
      <c r="D6" s="23">
        <f>D7+D16+D26</f>
        <v>77972</v>
      </c>
      <c r="E6" s="23">
        <f t="shared" ref="E6:H6" si="1">E7+E16+E26</f>
        <v>110286</v>
      </c>
      <c r="F6" s="23">
        <f t="shared" si="1"/>
        <v>116276</v>
      </c>
      <c r="G6" s="23">
        <f t="shared" si="1"/>
        <v>111887</v>
      </c>
      <c r="H6" s="23">
        <f t="shared" si="1"/>
        <v>122053</v>
      </c>
    </row>
    <row r="7" spans="2:8" ht="15" thickBot="1">
      <c r="B7" s="9" t="s">
        <v>1</v>
      </c>
      <c r="C7" s="24" t="s">
        <v>105</v>
      </c>
      <c r="D7" s="20">
        <f>SUM(D8:D15)</f>
        <v>2068</v>
      </c>
      <c r="E7" s="20">
        <f t="shared" ref="E7:H7" si="2">SUM(E8:E15)</f>
        <v>2823</v>
      </c>
      <c r="F7" s="20">
        <f t="shared" si="2"/>
        <v>1747</v>
      </c>
      <c r="G7" s="20">
        <f t="shared" si="2"/>
        <v>2814</v>
      </c>
      <c r="H7" s="20">
        <f t="shared" si="2"/>
        <v>2673</v>
      </c>
    </row>
    <row r="8" spans="2:8" ht="15" thickBot="1">
      <c r="B8" s="9" t="s">
        <v>9</v>
      </c>
      <c r="C8" s="18" t="s">
        <v>106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</row>
    <row r="9" spans="2:8" ht="15" thickBot="1">
      <c r="B9" s="9" t="s">
        <v>11</v>
      </c>
      <c r="C9" s="18" t="s">
        <v>107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</row>
    <row r="10" spans="2:8" ht="15" thickBot="1">
      <c r="B10" s="9" t="s">
        <v>13</v>
      </c>
      <c r="C10" s="18" t="s">
        <v>108</v>
      </c>
      <c r="D10" s="19">
        <v>1923</v>
      </c>
      <c r="E10" s="19">
        <v>2285</v>
      </c>
      <c r="F10" s="19">
        <v>1621</v>
      </c>
      <c r="G10" s="19">
        <v>1493</v>
      </c>
      <c r="H10" s="19">
        <v>2525</v>
      </c>
    </row>
    <row r="11" spans="2:8" ht="15" thickBot="1">
      <c r="B11" s="9" t="s">
        <v>25</v>
      </c>
      <c r="C11" s="18" t="s">
        <v>109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</row>
    <row r="12" spans="2:8" ht="15" thickBot="1">
      <c r="B12" s="9" t="s">
        <v>110</v>
      </c>
      <c r="C12" s="18" t="s">
        <v>111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</row>
    <row r="13" spans="2:8" ht="15" thickBot="1">
      <c r="B13" s="9" t="s">
        <v>112</v>
      </c>
      <c r="C13" s="18" t="s">
        <v>113</v>
      </c>
      <c r="D13" s="19">
        <v>0</v>
      </c>
      <c r="E13" s="19">
        <v>0</v>
      </c>
      <c r="F13" s="19">
        <v>0</v>
      </c>
      <c r="G13" s="19">
        <v>0</v>
      </c>
      <c r="H13" s="19">
        <v>0</v>
      </c>
    </row>
    <row r="14" spans="2:8" ht="15" thickBot="1">
      <c r="B14" s="9" t="s">
        <v>114</v>
      </c>
      <c r="C14" s="18" t="s">
        <v>115</v>
      </c>
      <c r="D14" s="19">
        <v>145</v>
      </c>
      <c r="E14" s="19">
        <v>538</v>
      </c>
      <c r="F14" s="19">
        <v>126</v>
      </c>
      <c r="G14" s="19">
        <v>1321</v>
      </c>
      <c r="H14" s="19">
        <v>148</v>
      </c>
    </row>
    <row r="15" spans="2:8" ht="15" thickBot="1">
      <c r="B15" s="9" t="s">
        <v>116</v>
      </c>
      <c r="C15" s="18" t="s">
        <v>117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</row>
    <row r="16" spans="2:8" ht="15" thickBot="1">
      <c r="B16" s="9" t="s">
        <v>7</v>
      </c>
      <c r="C16" s="24" t="s">
        <v>118</v>
      </c>
      <c r="D16" s="23">
        <f>SUM(D17:D25)</f>
        <v>75904</v>
      </c>
      <c r="E16" s="23">
        <f t="shared" ref="E16:H16" si="3">SUM(E17:E25)</f>
        <v>107463</v>
      </c>
      <c r="F16" s="23">
        <f t="shared" si="3"/>
        <v>114529</v>
      </c>
      <c r="G16" s="23">
        <f t="shared" si="3"/>
        <v>109073</v>
      </c>
      <c r="H16" s="23">
        <f t="shared" si="3"/>
        <v>119380</v>
      </c>
    </row>
    <row r="17" spans="2:8" ht="15" thickBot="1">
      <c r="B17" s="9" t="s">
        <v>9</v>
      </c>
      <c r="C17" s="18" t="s">
        <v>119</v>
      </c>
      <c r="D17" s="19">
        <v>3526</v>
      </c>
      <c r="E17" s="19">
        <v>4123</v>
      </c>
      <c r="F17" s="19">
        <v>5421</v>
      </c>
      <c r="G17" s="19">
        <v>5462</v>
      </c>
      <c r="H17" s="19">
        <v>6317</v>
      </c>
    </row>
    <row r="18" spans="2:8" ht="15" thickBot="1">
      <c r="B18" s="9" t="s">
        <v>11</v>
      </c>
      <c r="C18" s="18" t="s">
        <v>120</v>
      </c>
      <c r="D18" s="22">
        <v>41235</v>
      </c>
      <c r="E18" s="22">
        <v>49983</v>
      </c>
      <c r="F18" s="22">
        <v>49123</v>
      </c>
      <c r="G18" s="22">
        <v>56245</v>
      </c>
      <c r="H18" s="22">
        <v>63128</v>
      </c>
    </row>
    <row r="19" spans="2:8" ht="15" thickBot="1">
      <c r="B19" s="9" t="s">
        <v>13</v>
      </c>
      <c r="C19" s="18" t="s">
        <v>121</v>
      </c>
      <c r="D19" s="22">
        <v>23562</v>
      </c>
      <c r="E19" s="22">
        <v>47348</v>
      </c>
      <c r="F19" s="22">
        <v>55214</v>
      </c>
      <c r="G19" s="19">
        <v>45132</v>
      </c>
      <c r="H19" s="19">
        <v>49216</v>
      </c>
    </row>
    <row r="20" spans="2:8" ht="15" thickBot="1">
      <c r="B20" s="9" t="s">
        <v>25</v>
      </c>
      <c r="C20" s="18" t="s">
        <v>122</v>
      </c>
      <c r="D20" s="19">
        <v>0</v>
      </c>
      <c r="E20" s="19">
        <v>0</v>
      </c>
      <c r="F20" s="19">
        <v>0</v>
      </c>
      <c r="G20" s="19">
        <v>0</v>
      </c>
      <c r="H20" s="19">
        <v>0</v>
      </c>
    </row>
    <row r="21" spans="2:8" ht="15" thickBot="1">
      <c r="B21" s="9" t="s">
        <v>110</v>
      </c>
      <c r="C21" s="18" t="s">
        <v>123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</row>
    <row r="22" spans="2:8" ht="15" thickBot="1">
      <c r="B22" s="9" t="s">
        <v>112</v>
      </c>
      <c r="C22" s="18" t="s">
        <v>124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</row>
    <row r="23" spans="2:8" ht="15" thickBot="1">
      <c r="B23" s="9" t="s">
        <v>114</v>
      </c>
      <c r="C23" s="18" t="s">
        <v>125</v>
      </c>
      <c r="D23" s="19">
        <v>4128</v>
      </c>
      <c r="E23" s="19">
        <v>193</v>
      </c>
      <c r="F23" s="19">
        <v>3417</v>
      </c>
      <c r="G23" s="19">
        <v>625</v>
      </c>
      <c r="H23" s="19">
        <v>513</v>
      </c>
    </row>
    <row r="24" spans="2:8" ht="15" thickBot="1">
      <c r="B24" s="9" t="s">
        <v>116</v>
      </c>
      <c r="C24" s="18" t="s">
        <v>126</v>
      </c>
      <c r="D24" s="19">
        <v>2801</v>
      </c>
      <c r="E24" s="19">
        <v>5323</v>
      </c>
      <c r="F24" s="19">
        <v>1026</v>
      </c>
      <c r="G24" s="19">
        <v>1417</v>
      </c>
      <c r="H24" s="19">
        <v>93</v>
      </c>
    </row>
    <row r="25" spans="2:8" ht="15" thickBot="1">
      <c r="B25" s="9" t="s">
        <v>127</v>
      </c>
      <c r="C25" s="18" t="s">
        <v>128</v>
      </c>
      <c r="D25" s="19">
        <v>652</v>
      </c>
      <c r="E25" s="19">
        <v>493</v>
      </c>
      <c r="F25" s="19">
        <v>328</v>
      </c>
      <c r="G25" s="19">
        <v>192</v>
      </c>
      <c r="H25" s="19">
        <v>113</v>
      </c>
    </row>
    <row r="26" spans="2:8" ht="15" thickBot="1">
      <c r="B26" s="9" t="s">
        <v>31</v>
      </c>
      <c r="C26" s="24" t="s">
        <v>129</v>
      </c>
      <c r="D26" s="20">
        <f>SUM(D27:D33)</f>
        <v>0</v>
      </c>
      <c r="E26" s="20">
        <f t="shared" ref="E26:H26" si="4">SUM(E27:E33)</f>
        <v>0</v>
      </c>
      <c r="F26" s="20">
        <f t="shared" si="4"/>
        <v>0</v>
      </c>
      <c r="G26" s="20">
        <f t="shared" si="4"/>
        <v>0</v>
      </c>
      <c r="H26" s="20">
        <f t="shared" si="4"/>
        <v>0</v>
      </c>
    </row>
    <row r="27" spans="2:8" ht="15" thickBot="1">
      <c r="B27" s="9" t="s">
        <v>9</v>
      </c>
      <c r="C27" s="18" t="s">
        <v>130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8" spans="2:8" ht="15" thickBot="1">
      <c r="B28" s="9" t="s">
        <v>11</v>
      </c>
      <c r="C28" s="18" t="s">
        <v>131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</row>
    <row r="29" spans="2:8" ht="15" thickBot="1">
      <c r="B29" s="9" t="s">
        <v>13</v>
      </c>
      <c r="C29" s="18" t="s">
        <v>132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</row>
    <row r="30" spans="2:8" ht="15" thickBot="1">
      <c r="B30" s="9" t="s">
        <v>25</v>
      </c>
      <c r="C30" s="18" t="s">
        <v>133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</row>
    <row r="31" spans="2:8" ht="15" thickBot="1">
      <c r="B31" s="9" t="s">
        <v>110</v>
      </c>
      <c r="C31" s="18" t="s">
        <v>134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</row>
    <row r="32" spans="2:8" ht="15" thickBot="1">
      <c r="B32" s="9" t="s">
        <v>112</v>
      </c>
      <c r="C32" s="18" t="s">
        <v>135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</row>
    <row r="33" spans="2:8" ht="15" thickBot="1">
      <c r="B33" s="9" t="s">
        <v>114</v>
      </c>
      <c r="C33" s="18" t="s">
        <v>136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</row>
    <row r="34" spans="2:8" ht="15" thickBot="1">
      <c r="B34" s="15" t="s">
        <v>20</v>
      </c>
      <c r="C34" s="21" t="s">
        <v>137</v>
      </c>
      <c r="D34" s="23">
        <f>D35+D42+D51+D61</f>
        <v>69989</v>
      </c>
      <c r="E34" s="23">
        <f>E35+E42+E51+E61</f>
        <v>77665</v>
      </c>
      <c r="F34" s="23">
        <f t="shared" ref="F34:H34" si="5">F35+F42+F51+F61</f>
        <v>89365</v>
      </c>
      <c r="G34" s="23">
        <f t="shared" si="5"/>
        <v>101171</v>
      </c>
      <c r="H34" s="23">
        <f t="shared" si="5"/>
        <v>110661</v>
      </c>
    </row>
    <row r="35" spans="2:8" ht="15" thickBot="1">
      <c r="B35" s="9" t="s">
        <v>1</v>
      </c>
      <c r="C35" s="24" t="s">
        <v>138</v>
      </c>
      <c r="D35" s="23">
        <f>SUM(D36:D41)</f>
        <v>25104</v>
      </c>
      <c r="E35" s="23">
        <f t="shared" ref="E35:H35" si="6">SUM(E36:E41)</f>
        <v>29283</v>
      </c>
      <c r="F35" s="23">
        <f t="shared" si="6"/>
        <v>36662</v>
      </c>
      <c r="G35" s="23">
        <f t="shared" si="6"/>
        <v>43562</v>
      </c>
      <c r="H35" s="23">
        <f t="shared" si="6"/>
        <v>45208</v>
      </c>
    </row>
    <row r="36" spans="2:8" ht="15" thickBot="1">
      <c r="B36" s="9" t="s">
        <v>9</v>
      </c>
      <c r="C36" s="18" t="s">
        <v>139</v>
      </c>
      <c r="D36" s="19">
        <v>6935</v>
      </c>
      <c r="E36" s="19">
        <v>10212</v>
      </c>
      <c r="F36" s="19">
        <v>8623</v>
      </c>
      <c r="G36" s="19">
        <v>9428</v>
      </c>
      <c r="H36" s="19">
        <v>13126</v>
      </c>
    </row>
    <row r="37" spans="2:8" ht="15" thickBot="1">
      <c r="B37" s="9" t="s">
        <v>11</v>
      </c>
      <c r="C37" s="18" t="s">
        <v>140</v>
      </c>
      <c r="D37" s="19">
        <v>3125</v>
      </c>
      <c r="E37" s="19">
        <v>3421</v>
      </c>
      <c r="F37" s="19">
        <v>3936</v>
      </c>
      <c r="G37" s="19">
        <v>3983</v>
      </c>
      <c r="H37" s="19">
        <v>4111</v>
      </c>
    </row>
    <row r="38" spans="2:8" ht="15" thickBot="1">
      <c r="B38" s="9" t="s">
        <v>13</v>
      </c>
      <c r="C38" s="18" t="s">
        <v>141</v>
      </c>
      <c r="D38" s="19">
        <v>7121</v>
      </c>
      <c r="E38" s="19">
        <v>7325</v>
      </c>
      <c r="F38" s="19">
        <v>11983</v>
      </c>
      <c r="G38" s="19">
        <v>15516</v>
      </c>
      <c r="H38" s="19">
        <v>13428</v>
      </c>
    </row>
    <row r="39" spans="2:8" ht="15" thickBot="1">
      <c r="B39" s="9" t="s">
        <v>25</v>
      </c>
      <c r="C39" s="18" t="s">
        <v>142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</row>
    <row r="40" spans="2:8" ht="15" thickBot="1">
      <c r="B40" s="9" t="s">
        <v>110</v>
      </c>
      <c r="C40" s="18" t="s">
        <v>143</v>
      </c>
      <c r="D40" s="22">
        <v>7923</v>
      </c>
      <c r="E40" s="19">
        <v>8325</v>
      </c>
      <c r="F40" s="22">
        <v>12117</v>
      </c>
      <c r="G40" s="19">
        <v>14635</v>
      </c>
      <c r="H40" s="19">
        <v>14543</v>
      </c>
    </row>
    <row r="41" spans="2:8" ht="15" thickBot="1">
      <c r="B41" s="9" t="s">
        <v>112</v>
      </c>
      <c r="C41" s="18" t="s">
        <v>144</v>
      </c>
      <c r="D41" s="19">
        <v>0</v>
      </c>
      <c r="E41" s="19">
        <v>0</v>
      </c>
      <c r="F41" s="19">
        <v>3</v>
      </c>
      <c r="G41" s="19">
        <v>0</v>
      </c>
      <c r="H41" s="19">
        <v>0</v>
      </c>
    </row>
    <row r="42" spans="2:8" ht="15" thickBot="1">
      <c r="B42" s="9" t="s">
        <v>7</v>
      </c>
      <c r="C42" s="24" t="s">
        <v>145</v>
      </c>
      <c r="D42" s="20">
        <f>SUM(D43:D50)</f>
        <v>238</v>
      </c>
      <c r="E42" s="20">
        <f t="shared" ref="E42:H42" si="7">SUM(E43:E50)</f>
        <v>325</v>
      </c>
      <c r="F42" s="20">
        <f t="shared" si="7"/>
        <v>363</v>
      </c>
      <c r="G42" s="20">
        <f t="shared" si="7"/>
        <v>245</v>
      </c>
      <c r="H42" s="20">
        <f t="shared" si="7"/>
        <v>125</v>
      </c>
    </row>
    <row r="43" spans="2:8" ht="15" thickBot="1">
      <c r="B43" s="9" t="s">
        <v>9</v>
      </c>
      <c r="C43" s="18" t="s">
        <v>146</v>
      </c>
      <c r="D43" s="19">
        <v>238</v>
      </c>
      <c r="E43" s="19">
        <v>325</v>
      </c>
      <c r="F43" s="19">
        <v>363</v>
      </c>
      <c r="G43" s="19">
        <v>245</v>
      </c>
      <c r="H43" s="19">
        <v>125</v>
      </c>
    </row>
    <row r="44" spans="2:8" ht="15" thickBot="1">
      <c r="B44" s="9" t="s">
        <v>11</v>
      </c>
      <c r="C44" s="18" t="s">
        <v>147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</row>
    <row r="45" spans="2:8" ht="15" thickBot="1">
      <c r="B45" s="9" t="s">
        <v>13</v>
      </c>
      <c r="C45" s="18" t="s">
        <v>148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</row>
    <row r="46" spans="2:8" ht="15" thickBot="1">
      <c r="B46" s="9" t="s">
        <v>25</v>
      </c>
      <c r="C46" s="18" t="s">
        <v>149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</row>
    <row r="47" spans="2:8" ht="15" thickBot="1">
      <c r="B47" s="9" t="s">
        <v>110</v>
      </c>
      <c r="C47" s="18" t="s">
        <v>150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</row>
    <row r="48" spans="2:8" ht="15" thickBot="1">
      <c r="B48" s="9" t="s">
        <v>112</v>
      </c>
      <c r="C48" s="18" t="s">
        <v>151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</row>
    <row r="49" spans="2:8" ht="15" thickBot="1">
      <c r="B49" s="9" t="s">
        <v>114</v>
      </c>
      <c r="C49" s="18" t="s">
        <v>152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</row>
    <row r="50" spans="2:8" ht="15" thickBot="1">
      <c r="B50" s="9" t="s">
        <v>116</v>
      </c>
      <c r="C50" s="18" t="s">
        <v>153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</row>
    <row r="51" spans="2:8" ht="15" thickBot="1">
      <c r="B51" s="9" t="s">
        <v>31</v>
      </c>
      <c r="C51" s="24" t="s">
        <v>154</v>
      </c>
      <c r="D51" s="23">
        <f>SUM(D52:D60)</f>
        <v>26149</v>
      </c>
      <c r="E51" s="23">
        <f t="shared" ref="E51:H51" si="8">SUM(E52:E60)</f>
        <v>29396</v>
      </c>
      <c r="F51" s="23">
        <f t="shared" si="8"/>
        <v>37374</v>
      </c>
      <c r="G51" s="23">
        <f t="shared" si="8"/>
        <v>43095</v>
      </c>
      <c r="H51" s="23">
        <f t="shared" si="8"/>
        <v>46209</v>
      </c>
    </row>
    <row r="52" spans="2:8" ht="15" thickBot="1">
      <c r="B52" s="9" t="s">
        <v>9</v>
      </c>
      <c r="C52" s="18" t="s">
        <v>146</v>
      </c>
      <c r="D52" s="22">
        <v>23145</v>
      </c>
      <c r="E52" s="19">
        <v>27262</v>
      </c>
      <c r="F52" s="22">
        <v>34148</v>
      </c>
      <c r="G52" s="22">
        <v>39925</v>
      </c>
      <c r="H52" s="22">
        <v>41013</v>
      </c>
    </row>
    <row r="53" spans="2:8" ht="15" thickBot="1">
      <c r="B53" s="9" t="s">
        <v>11</v>
      </c>
      <c r="C53" s="18" t="s">
        <v>147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</row>
    <row r="54" spans="2:8" ht="15" thickBot="1">
      <c r="B54" s="9" t="s">
        <v>13</v>
      </c>
      <c r="C54" s="18" t="s">
        <v>148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</row>
    <row r="55" spans="2:8" ht="15" thickBot="1">
      <c r="B55" s="9" t="s">
        <v>25</v>
      </c>
      <c r="C55" s="18" t="s">
        <v>149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</row>
    <row r="56" spans="2:8" ht="15" thickBot="1">
      <c r="B56" s="9" t="s">
        <v>110</v>
      </c>
      <c r="C56" s="18" t="s">
        <v>155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</row>
    <row r="57" spans="2:8" ht="15" thickBot="1">
      <c r="B57" s="9" t="s">
        <v>112</v>
      </c>
      <c r="C57" s="18" t="s">
        <v>156</v>
      </c>
      <c r="D57" s="19">
        <v>273</v>
      </c>
      <c r="E57" s="19">
        <v>826</v>
      </c>
      <c r="F57" s="19">
        <v>1623</v>
      </c>
      <c r="G57" s="19">
        <v>248</v>
      </c>
      <c r="H57" s="19">
        <v>1725</v>
      </c>
    </row>
    <row r="58" spans="2:8" ht="15" thickBot="1">
      <c r="B58" s="9" t="s">
        <v>114</v>
      </c>
      <c r="C58" s="18" t="s">
        <v>157</v>
      </c>
      <c r="D58" s="19">
        <v>693</v>
      </c>
      <c r="E58" s="19">
        <v>328</v>
      </c>
      <c r="F58" s="19">
        <v>745</v>
      </c>
      <c r="G58" s="19">
        <v>1926</v>
      </c>
      <c r="H58" s="19">
        <v>2455</v>
      </c>
    </row>
    <row r="59" spans="2:8" ht="15" thickBot="1">
      <c r="B59" s="9" t="s">
        <v>116</v>
      </c>
      <c r="C59" s="18" t="s">
        <v>151</v>
      </c>
      <c r="D59" s="19">
        <v>1325</v>
      </c>
      <c r="E59" s="19">
        <v>485</v>
      </c>
      <c r="F59" s="19">
        <v>322</v>
      </c>
      <c r="G59" s="19">
        <v>268</v>
      </c>
      <c r="H59" s="19">
        <v>453</v>
      </c>
    </row>
    <row r="60" spans="2:8" ht="15" thickBot="1">
      <c r="B60" s="9" t="s">
        <v>127</v>
      </c>
      <c r="C60" s="18" t="s">
        <v>152</v>
      </c>
      <c r="D60" s="19">
        <v>713</v>
      </c>
      <c r="E60" s="19">
        <v>495</v>
      </c>
      <c r="F60" s="19">
        <v>536</v>
      </c>
      <c r="G60" s="19">
        <v>728</v>
      </c>
      <c r="H60" s="19">
        <v>563</v>
      </c>
    </row>
    <row r="61" spans="2:8" ht="15" thickBot="1">
      <c r="B61" s="9" t="s">
        <v>41</v>
      </c>
      <c r="C61" s="24" t="s">
        <v>158</v>
      </c>
      <c r="D61" s="20">
        <f>SUM(D62:D65)</f>
        <v>18498</v>
      </c>
      <c r="E61" s="20">
        <f t="shared" ref="E61:H61" si="9">SUM(E62:E65)</f>
        <v>18661</v>
      </c>
      <c r="F61" s="20">
        <f t="shared" si="9"/>
        <v>14966</v>
      </c>
      <c r="G61" s="20">
        <f t="shared" si="9"/>
        <v>14269</v>
      </c>
      <c r="H61" s="20">
        <f t="shared" si="9"/>
        <v>19119</v>
      </c>
    </row>
    <row r="62" spans="2:8" ht="15" thickBot="1">
      <c r="B62" s="9" t="s">
        <v>9</v>
      </c>
      <c r="C62" s="18" t="s">
        <v>159</v>
      </c>
      <c r="D62" s="19">
        <v>935</v>
      </c>
      <c r="E62" s="19">
        <v>726</v>
      </c>
      <c r="F62" s="19">
        <v>713</v>
      </c>
      <c r="G62" s="19">
        <v>784</v>
      </c>
      <c r="H62" s="19">
        <v>1121</v>
      </c>
    </row>
    <row r="63" spans="2:8" ht="15" thickBot="1">
      <c r="B63" s="9" t="s">
        <v>11</v>
      </c>
      <c r="C63" s="18" t="s">
        <v>160</v>
      </c>
      <c r="D63" s="19">
        <v>17563</v>
      </c>
      <c r="E63" s="19">
        <v>17935</v>
      </c>
      <c r="F63" s="19">
        <v>14253</v>
      </c>
      <c r="G63" s="19">
        <v>13485</v>
      </c>
      <c r="H63" s="19">
        <v>17998</v>
      </c>
    </row>
    <row r="64" spans="2:8" ht="15" thickBot="1">
      <c r="B64" s="9" t="s">
        <v>13</v>
      </c>
      <c r="C64" s="18" t="s">
        <v>161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</row>
    <row r="65" spans="2:8" ht="15" thickBot="1">
      <c r="B65" s="9" t="s">
        <v>25</v>
      </c>
      <c r="C65" s="18" t="s">
        <v>162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</row>
    <row r="66" spans="2:8" ht="15" thickBot="1">
      <c r="B66" s="15" t="s">
        <v>163</v>
      </c>
      <c r="C66" s="21" t="s">
        <v>164</v>
      </c>
      <c r="D66" s="20">
        <f>SUM(D67:D69)</f>
        <v>4090</v>
      </c>
      <c r="E66" s="20">
        <f t="shared" ref="E66:H66" si="10">SUM(E67:E69)</f>
        <v>5256</v>
      </c>
      <c r="F66" s="20">
        <f t="shared" si="10"/>
        <v>6229</v>
      </c>
      <c r="G66" s="20">
        <f t="shared" si="10"/>
        <v>7447</v>
      </c>
      <c r="H66" s="20">
        <f t="shared" si="10"/>
        <v>9266</v>
      </c>
    </row>
    <row r="67" spans="2:8" ht="15" thickBot="1">
      <c r="B67" s="9" t="s">
        <v>9</v>
      </c>
      <c r="C67" s="18" t="s">
        <v>165</v>
      </c>
      <c r="D67" s="19">
        <v>3845</v>
      </c>
      <c r="E67" s="19">
        <v>4628</v>
      </c>
      <c r="F67" s="19">
        <v>5435</v>
      </c>
      <c r="G67" s="19">
        <v>6234</v>
      </c>
      <c r="H67" s="19">
        <v>8421</v>
      </c>
    </row>
    <row r="68" spans="2:8" ht="15" thickBot="1">
      <c r="B68" s="9" t="s">
        <v>11</v>
      </c>
      <c r="C68" s="18" t="s">
        <v>166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</row>
    <row r="69" spans="2:8" ht="15" thickBot="1">
      <c r="B69" s="9" t="s">
        <v>13</v>
      </c>
      <c r="C69" s="18" t="s">
        <v>167</v>
      </c>
      <c r="D69" s="19">
        <v>245</v>
      </c>
      <c r="E69" s="19">
        <v>628</v>
      </c>
      <c r="F69" s="19">
        <v>794</v>
      </c>
      <c r="G69" s="19">
        <v>1213</v>
      </c>
      <c r="H69" s="19">
        <v>845</v>
      </c>
    </row>
    <row r="70" spans="2:8" ht="15" thickBot="1">
      <c r="B70" s="15"/>
      <c r="C70" s="21"/>
      <c r="D70" s="322"/>
      <c r="E70" s="323"/>
      <c r="F70" s="322"/>
      <c r="G70" s="323"/>
    </row>
    <row r="71" spans="2:8" ht="20.25" customHeight="1" thickBot="1">
      <c r="B71" s="15" t="s">
        <v>0</v>
      </c>
      <c r="C71" s="21" t="s">
        <v>168</v>
      </c>
      <c r="D71" s="3">
        <v>2002</v>
      </c>
      <c r="E71" s="3">
        <v>2003</v>
      </c>
      <c r="F71" s="3">
        <v>2004</v>
      </c>
      <c r="G71" s="3">
        <v>2005</v>
      </c>
      <c r="H71" s="3">
        <v>2006</v>
      </c>
    </row>
    <row r="72" spans="2:8" ht="15" thickBot="1">
      <c r="B72" s="4"/>
      <c r="C72" s="21" t="s">
        <v>169</v>
      </c>
      <c r="D72" s="23">
        <f>D73+D90+D123</f>
        <v>152051.39500000002</v>
      </c>
      <c r="E72" s="23">
        <f t="shared" ref="E72:H72" si="11">E73+E90+E123</f>
        <v>193206.505</v>
      </c>
      <c r="F72" s="23">
        <f t="shared" si="11"/>
        <v>211869.85700000002</v>
      </c>
      <c r="G72" s="23">
        <f t="shared" si="11"/>
        <v>220504.83600000001</v>
      </c>
      <c r="H72" s="23">
        <f t="shared" si="11"/>
        <v>241979.72500000001</v>
      </c>
    </row>
    <row r="73" spans="2:8" ht="15" thickBot="1">
      <c r="B73" s="15" t="s">
        <v>3</v>
      </c>
      <c r="C73" s="21" t="s">
        <v>170</v>
      </c>
      <c r="D73" s="23">
        <f>D74+D78+D83+D86+D89</f>
        <v>95258.395000000004</v>
      </c>
      <c r="E73" s="23">
        <f t="shared" ref="E73:H73" si="12">E74+E78+E83+E86+E89</f>
        <v>119053.505</v>
      </c>
      <c r="F73" s="23">
        <f t="shared" si="12"/>
        <v>134771.85700000002</v>
      </c>
      <c r="G73" s="23">
        <f t="shared" si="12"/>
        <v>154213.83600000001</v>
      </c>
      <c r="H73" s="23">
        <f t="shared" si="12"/>
        <v>163022.72500000001</v>
      </c>
    </row>
    <row r="74" spans="2:8" ht="15" thickBot="1">
      <c r="B74" s="9" t="s">
        <v>1</v>
      </c>
      <c r="C74" s="24" t="s">
        <v>171</v>
      </c>
      <c r="D74" s="23">
        <f>SUM(D75:D77)</f>
        <v>12000</v>
      </c>
      <c r="E74" s="23">
        <f t="shared" ref="E74:H74" si="13">SUM(E75:E77)</f>
        <v>12000</v>
      </c>
      <c r="F74" s="23">
        <f t="shared" si="13"/>
        <v>12000</v>
      </c>
      <c r="G74" s="23">
        <f t="shared" si="13"/>
        <v>12000</v>
      </c>
      <c r="H74" s="23">
        <f t="shared" si="13"/>
        <v>12000</v>
      </c>
    </row>
    <row r="75" spans="2:8" ht="15" thickBot="1">
      <c r="B75" s="9" t="s">
        <v>9</v>
      </c>
      <c r="C75" s="18" t="s">
        <v>172</v>
      </c>
      <c r="D75" s="22">
        <v>12000</v>
      </c>
      <c r="E75" s="22">
        <v>12000</v>
      </c>
      <c r="F75" s="22">
        <v>12000</v>
      </c>
      <c r="G75" s="22">
        <v>12000</v>
      </c>
      <c r="H75" s="22">
        <v>12000</v>
      </c>
    </row>
    <row r="76" spans="2:8" ht="15" thickBot="1">
      <c r="B76" s="9" t="s">
        <v>11</v>
      </c>
      <c r="C76" s="18" t="s">
        <v>173</v>
      </c>
      <c r="D76" s="19">
        <v>0</v>
      </c>
      <c r="E76" s="19">
        <v>0</v>
      </c>
      <c r="F76" s="19">
        <v>0</v>
      </c>
      <c r="G76" s="19">
        <v>0</v>
      </c>
      <c r="H76" s="19">
        <v>0</v>
      </c>
    </row>
    <row r="77" spans="2:8" ht="15" thickBot="1">
      <c r="B77" s="9" t="s">
        <v>13</v>
      </c>
      <c r="C77" s="18" t="s">
        <v>174</v>
      </c>
      <c r="D77" s="19">
        <v>0</v>
      </c>
      <c r="E77" s="19">
        <v>0</v>
      </c>
      <c r="F77" s="19">
        <v>0</v>
      </c>
      <c r="G77" s="19">
        <v>0</v>
      </c>
      <c r="H77" s="19">
        <v>0</v>
      </c>
    </row>
    <row r="78" spans="2:8" ht="15" thickBot="1">
      <c r="B78" s="9" t="s">
        <v>7</v>
      </c>
      <c r="C78" s="24" t="s">
        <v>175</v>
      </c>
      <c r="D78" s="20">
        <f>SUM(D79:D82)</f>
        <v>0</v>
      </c>
      <c r="E78" s="20">
        <f t="shared" ref="E78:H78" si="14">SUM(E79:E82)</f>
        <v>0</v>
      </c>
      <c r="F78" s="20">
        <f t="shared" si="14"/>
        <v>0</v>
      </c>
      <c r="G78" s="20">
        <f t="shared" si="14"/>
        <v>0</v>
      </c>
      <c r="H78" s="20">
        <f t="shared" si="14"/>
        <v>0</v>
      </c>
    </row>
    <row r="79" spans="2:8" ht="15" thickBot="1">
      <c r="B79" s="9" t="s">
        <v>9</v>
      </c>
      <c r="C79" s="18" t="s">
        <v>176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</row>
    <row r="80" spans="2:8" ht="15" thickBot="1">
      <c r="B80" s="9" t="s">
        <v>11</v>
      </c>
      <c r="C80" s="18" t="s">
        <v>177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</row>
    <row r="81" spans="2:8" ht="15" thickBot="1">
      <c r="B81" s="9" t="s">
        <v>13</v>
      </c>
      <c r="C81" s="18" t="s">
        <v>178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</row>
    <row r="82" spans="2:8" ht="15" thickBot="1">
      <c r="B82" s="9" t="s">
        <v>25</v>
      </c>
      <c r="C82" s="18" t="s">
        <v>179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</row>
    <row r="83" spans="2:8" ht="15" thickBot="1">
      <c r="B83" s="9" t="s">
        <v>31</v>
      </c>
      <c r="C83" s="24" t="s">
        <v>180</v>
      </c>
      <c r="D83" s="20">
        <f>SUM(D84:D85)</f>
        <v>1196</v>
      </c>
      <c r="E83" s="20">
        <f t="shared" ref="E83:H83" si="15">SUM(E84:E85)</f>
        <v>1191</v>
      </c>
      <c r="F83" s="20">
        <f t="shared" si="15"/>
        <v>1177</v>
      </c>
      <c r="G83" s="20">
        <f t="shared" si="15"/>
        <v>1186</v>
      </c>
      <c r="H83" s="20">
        <f t="shared" si="15"/>
        <v>1218</v>
      </c>
    </row>
    <row r="84" spans="2:8" ht="15" thickBot="1">
      <c r="B84" s="9" t="s">
        <v>9</v>
      </c>
      <c r="C84" s="18" t="s">
        <v>181</v>
      </c>
      <c r="D84" s="19">
        <v>1035</v>
      </c>
      <c r="E84" s="19">
        <v>1035</v>
      </c>
      <c r="F84" s="19">
        <v>1035</v>
      </c>
      <c r="G84" s="19">
        <v>1035</v>
      </c>
      <c r="H84" s="19">
        <v>1035</v>
      </c>
    </row>
    <row r="85" spans="2:8" ht="15" thickBot="1">
      <c r="B85" s="9" t="s">
        <v>11</v>
      </c>
      <c r="C85" s="18" t="s">
        <v>182</v>
      </c>
      <c r="D85" s="19">
        <v>161</v>
      </c>
      <c r="E85" s="19">
        <v>156</v>
      </c>
      <c r="F85" s="19">
        <v>142</v>
      </c>
      <c r="G85" s="19">
        <v>151</v>
      </c>
      <c r="H85" s="19">
        <v>183</v>
      </c>
    </row>
    <row r="86" spans="2:8" ht="15" thickBot="1">
      <c r="B86" s="9" t="s">
        <v>41</v>
      </c>
      <c r="C86" s="24" t="s">
        <v>183</v>
      </c>
      <c r="D86" s="23">
        <f>SUM(D87:D88)</f>
        <v>55356</v>
      </c>
      <c r="E86" s="23">
        <f t="shared" ref="E86:H86" si="16">SUM(E87:E88)</f>
        <v>81162</v>
      </c>
      <c r="F86" s="23">
        <f t="shared" si="16"/>
        <v>101263</v>
      </c>
      <c r="G86" s="23">
        <f t="shared" si="16"/>
        <v>113984</v>
      </c>
      <c r="H86" s="23">
        <f t="shared" si="16"/>
        <v>130321</v>
      </c>
    </row>
    <row r="87" spans="2:8" ht="15" thickBot="1">
      <c r="B87" s="9" t="s">
        <v>9</v>
      </c>
      <c r="C87" s="18" t="s">
        <v>184</v>
      </c>
      <c r="D87" s="19">
        <v>55356</v>
      </c>
      <c r="E87" s="19">
        <v>81162</v>
      </c>
      <c r="F87" s="19">
        <v>101263</v>
      </c>
      <c r="G87" s="19">
        <v>113984</v>
      </c>
      <c r="H87" s="19">
        <v>130321</v>
      </c>
    </row>
    <row r="88" spans="2:8" ht="15" thickBot="1">
      <c r="B88" s="9" t="s">
        <v>11</v>
      </c>
      <c r="C88" s="18" t="s">
        <v>185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</row>
    <row r="89" spans="2:8" ht="15" thickBot="1">
      <c r="B89" s="9" t="s">
        <v>45</v>
      </c>
      <c r="C89" s="24" t="s">
        <v>186</v>
      </c>
      <c r="D89" s="23">
        <v>26706.395000000004</v>
      </c>
      <c r="E89" s="23">
        <v>24700.505000000005</v>
      </c>
      <c r="F89" s="23">
        <v>20331.857000000004</v>
      </c>
      <c r="G89" s="23">
        <v>27043.835999999996</v>
      </c>
      <c r="H89" s="23">
        <v>19483.725000000006</v>
      </c>
    </row>
    <row r="90" spans="2:8" ht="15" thickBot="1">
      <c r="B90" s="15" t="s">
        <v>15</v>
      </c>
      <c r="C90" s="21" t="s">
        <v>187</v>
      </c>
      <c r="D90" s="23">
        <f>D91+D96+D107+D119</f>
        <v>56077</v>
      </c>
      <c r="E90" s="23">
        <f t="shared" ref="E90:H90" si="17">E91+E96+E107+E119</f>
        <v>73764</v>
      </c>
      <c r="F90" s="23">
        <f t="shared" si="17"/>
        <v>76689</v>
      </c>
      <c r="G90" s="23">
        <f t="shared" si="17"/>
        <v>65287</v>
      </c>
      <c r="H90" s="23">
        <f t="shared" si="17"/>
        <v>78557</v>
      </c>
    </row>
    <row r="91" spans="2:8" ht="15" thickBot="1">
      <c r="B91" s="9" t="s">
        <v>1</v>
      </c>
      <c r="C91" s="24" t="s">
        <v>188</v>
      </c>
      <c r="D91" s="20">
        <f>SUM(D92:D95)</f>
        <v>1455</v>
      </c>
      <c r="E91" s="20">
        <f t="shared" ref="E91:H91" si="18">SUM(E92:E95)</f>
        <v>1112</v>
      </c>
      <c r="F91" s="20">
        <f t="shared" si="18"/>
        <v>985</v>
      </c>
      <c r="G91" s="20">
        <f t="shared" si="18"/>
        <v>845</v>
      </c>
      <c r="H91" s="20">
        <f t="shared" si="18"/>
        <v>716</v>
      </c>
    </row>
    <row r="92" spans="2:8" ht="15" thickBot="1">
      <c r="B92" s="9" t="s">
        <v>9</v>
      </c>
      <c r="C92" s="18" t="s">
        <v>189</v>
      </c>
      <c r="D92" s="19">
        <v>1455</v>
      </c>
      <c r="E92" s="19">
        <v>1112</v>
      </c>
      <c r="F92" s="19">
        <v>985</v>
      </c>
      <c r="G92" s="19">
        <v>845</v>
      </c>
      <c r="H92" s="19">
        <v>716</v>
      </c>
    </row>
    <row r="93" spans="2:8" ht="15" thickBot="1">
      <c r="B93" s="9" t="s">
        <v>11</v>
      </c>
      <c r="C93" s="18" t="s">
        <v>190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</row>
    <row r="94" spans="2:8" ht="15" thickBot="1">
      <c r="B94" s="9" t="s">
        <v>13</v>
      </c>
      <c r="C94" s="18" t="s">
        <v>191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</row>
    <row r="95" spans="2:8" ht="15" thickBot="1">
      <c r="B95" s="9" t="s">
        <v>25</v>
      </c>
      <c r="C95" s="18" t="s">
        <v>192</v>
      </c>
      <c r="D95" s="19">
        <v>0</v>
      </c>
      <c r="E95" s="19">
        <v>0</v>
      </c>
      <c r="F95" s="19">
        <v>0</v>
      </c>
      <c r="G95" s="19">
        <v>0</v>
      </c>
      <c r="H95" s="19">
        <v>0</v>
      </c>
    </row>
    <row r="96" spans="2:8" ht="15" thickBot="1">
      <c r="B96" s="9" t="s">
        <v>7</v>
      </c>
      <c r="C96" s="24" t="s">
        <v>193</v>
      </c>
      <c r="D96" s="23">
        <f>SUM(D97:D106)</f>
        <v>3235</v>
      </c>
      <c r="E96" s="23">
        <f t="shared" ref="E96:H96" si="19">SUM(E97:E106)</f>
        <v>4428</v>
      </c>
      <c r="F96" s="23">
        <f t="shared" si="19"/>
        <v>4949</v>
      </c>
      <c r="G96" s="23">
        <f t="shared" si="19"/>
        <v>5739</v>
      </c>
      <c r="H96" s="23">
        <f t="shared" si="19"/>
        <v>6574</v>
      </c>
    </row>
    <row r="97" spans="2:8" ht="15" thickBot="1">
      <c r="B97" s="9" t="s">
        <v>9</v>
      </c>
      <c r="C97" s="18" t="s">
        <v>194</v>
      </c>
      <c r="D97" s="22">
        <v>0</v>
      </c>
      <c r="E97" s="22">
        <v>0</v>
      </c>
      <c r="F97" s="22">
        <v>0</v>
      </c>
      <c r="G97" s="22">
        <v>0</v>
      </c>
      <c r="H97" s="22">
        <v>0</v>
      </c>
    </row>
    <row r="98" spans="2:8" ht="15" thickBot="1">
      <c r="B98" s="9" t="s">
        <v>11</v>
      </c>
      <c r="C98" s="18" t="s">
        <v>195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</row>
    <row r="99" spans="2:8" ht="15" thickBot="1">
      <c r="B99" s="9" t="s">
        <v>13</v>
      </c>
      <c r="C99" s="18" t="s">
        <v>196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</row>
    <row r="100" spans="2:8" ht="15" thickBot="1">
      <c r="B100" s="9" t="s">
        <v>25</v>
      </c>
      <c r="C100" s="18" t="s">
        <v>197</v>
      </c>
      <c r="D100" s="19">
        <v>0</v>
      </c>
      <c r="E100" s="19">
        <v>0</v>
      </c>
      <c r="F100" s="19">
        <v>0</v>
      </c>
      <c r="G100" s="19">
        <v>0</v>
      </c>
      <c r="H100" s="19">
        <v>0</v>
      </c>
    </row>
    <row r="101" spans="2:8" ht="15" thickBot="1">
      <c r="B101" s="9" t="s">
        <v>110</v>
      </c>
      <c r="C101" s="18" t="s">
        <v>198</v>
      </c>
      <c r="D101" s="19">
        <v>0</v>
      </c>
      <c r="E101" s="19">
        <v>0</v>
      </c>
      <c r="F101" s="19">
        <v>0</v>
      </c>
      <c r="G101" s="19">
        <v>0</v>
      </c>
      <c r="H101" s="19">
        <v>0</v>
      </c>
    </row>
    <row r="102" spans="2:8" ht="15" thickBot="1">
      <c r="B102" s="9" t="s">
        <v>112</v>
      </c>
      <c r="C102" s="18" t="s">
        <v>199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</row>
    <row r="103" spans="2:8" ht="15" thickBot="1">
      <c r="B103" s="9" t="s">
        <v>114</v>
      </c>
      <c r="C103" s="18" t="s">
        <v>200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</row>
    <row r="104" spans="2:8" ht="15" thickBot="1">
      <c r="B104" s="9" t="s">
        <v>116</v>
      </c>
      <c r="C104" s="18" t="s">
        <v>201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</row>
    <row r="105" spans="2:8" ht="15" thickBot="1">
      <c r="B105" s="9" t="s">
        <v>127</v>
      </c>
      <c r="C105" s="18" t="s">
        <v>202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</row>
    <row r="106" spans="2:8" ht="15" thickBot="1">
      <c r="B106" s="9" t="s">
        <v>203</v>
      </c>
      <c r="C106" s="18" t="s">
        <v>204</v>
      </c>
      <c r="D106" s="19">
        <v>3235</v>
      </c>
      <c r="E106" s="19">
        <f>3235+1193</f>
        <v>4428</v>
      </c>
      <c r="F106" s="19">
        <f>4428+521</f>
        <v>4949</v>
      </c>
      <c r="G106" s="19">
        <f>4949+790</f>
        <v>5739</v>
      </c>
      <c r="H106" s="19">
        <f>5739+835</f>
        <v>6574</v>
      </c>
    </row>
    <row r="107" spans="2:8" ht="15" thickBot="1">
      <c r="B107" s="9" t="s">
        <v>31</v>
      </c>
      <c r="C107" s="24" t="s">
        <v>205</v>
      </c>
      <c r="D107" s="23">
        <f>SUM(D108:D118)</f>
        <v>24827</v>
      </c>
      <c r="E107" s="23">
        <f t="shared" ref="E107:H107" si="20">SUM(E108:E118)</f>
        <v>23242</v>
      </c>
      <c r="F107" s="23">
        <f t="shared" si="20"/>
        <v>28193</v>
      </c>
      <c r="G107" s="23">
        <f t="shared" si="20"/>
        <v>29162</v>
      </c>
      <c r="H107" s="23">
        <f t="shared" si="20"/>
        <v>30189</v>
      </c>
    </row>
    <row r="108" spans="2:8" ht="15" thickBot="1">
      <c r="B108" s="9" t="s">
        <v>9</v>
      </c>
      <c r="C108" s="18" t="s">
        <v>194</v>
      </c>
      <c r="D108" s="22">
        <v>14233</v>
      </c>
      <c r="E108" s="22">
        <v>16328</v>
      </c>
      <c r="F108" s="22">
        <v>17414</v>
      </c>
      <c r="G108" s="22">
        <v>15328</v>
      </c>
      <c r="H108" s="22">
        <v>18245</v>
      </c>
    </row>
    <row r="109" spans="2:8" ht="15" thickBot="1">
      <c r="B109" s="9" t="s">
        <v>11</v>
      </c>
      <c r="C109" s="18" t="s">
        <v>195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</row>
    <row r="110" spans="2:8" ht="15" thickBot="1">
      <c r="B110" s="9" t="s">
        <v>13</v>
      </c>
      <c r="C110" s="18" t="s">
        <v>196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</row>
    <row r="111" spans="2:8" ht="15" thickBot="1">
      <c r="B111" s="9" t="s">
        <v>25</v>
      </c>
      <c r="C111" s="18" t="s">
        <v>197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</row>
    <row r="112" spans="2:8" ht="15" thickBot="1">
      <c r="B112" s="9" t="s">
        <v>110</v>
      </c>
      <c r="C112" s="18" t="s">
        <v>206</v>
      </c>
      <c r="D112" s="19">
        <v>2538</v>
      </c>
      <c r="E112" s="19">
        <v>2893</v>
      </c>
      <c r="F112" s="19">
        <v>3526</v>
      </c>
      <c r="G112" s="19">
        <v>3928</v>
      </c>
      <c r="H112" s="19">
        <v>4635</v>
      </c>
    </row>
    <row r="113" spans="2:8" ht="15" thickBot="1">
      <c r="B113" s="9" t="s">
        <v>112</v>
      </c>
      <c r="C113" s="18" t="s">
        <v>207</v>
      </c>
      <c r="D113" s="19">
        <v>1521</v>
      </c>
      <c r="E113" s="19">
        <v>1683</v>
      </c>
      <c r="F113" s="19">
        <v>2216</v>
      </c>
      <c r="G113" s="19">
        <v>2425</v>
      </c>
      <c r="H113" s="19">
        <v>2632</v>
      </c>
    </row>
    <row r="114" spans="2:8" ht="15" thickBot="1">
      <c r="B114" s="9" t="s">
        <v>114</v>
      </c>
      <c r="C114" s="18" t="s">
        <v>208</v>
      </c>
      <c r="D114" s="19">
        <v>3825</v>
      </c>
      <c r="E114" s="19">
        <v>1035</v>
      </c>
      <c r="F114" s="19">
        <v>2125</v>
      </c>
      <c r="G114" s="19">
        <v>3262</v>
      </c>
      <c r="H114" s="19">
        <v>2351</v>
      </c>
    </row>
    <row r="115" spans="2:8" ht="15" thickBot="1">
      <c r="B115" s="9" t="s">
        <v>116</v>
      </c>
      <c r="C115" s="18" t="s">
        <v>209</v>
      </c>
      <c r="D115" s="19">
        <v>165</v>
      </c>
      <c r="E115" s="19">
        <v>123</v>
      </c>
      <c r="F115" s="19">
        <v>1022</v>
      </c>
      <c r="G115" s="19">
        <v>3265</v>
      </c>
      <c r="H115" s="19">
        <v>1126</v>
      </c>
    </row>
    <row r="116" spans="2:8" ht="15" thickBot="1">
      <c r="B116" s="9" t="s">
        <v>127</v>
      </c>
      <c r="C116" s="18" t="s">
        <v>199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</row>
    <row r="117" spans="2:8" ht="15" thickBot="1">
      <c r="B117" s="9" t="s">
        <v>203</v>
      </c>
      <c r="C117" s="18" t="s">
        <v>201</v>
      </c>
      <c r="D117" s="19">
        <v>1125</v>
      </c>
      <c r="E117" s="19">
        <v>345</v>
      </c>
      <c r="F117" s="19">
        <v>1265</v>
      </c>
      <c r="G117" s="19">
        <v>526</v>
      </c>
      <c r="H117" s="19">
        <v>835</v>
      </c>
    </row>
    <row r="118" spans="2:8" ht="15" thickBot="1">
      <c r="B118" s="9" t="s">
        <v>210</v>
      </c>
      <c r="C118" s="18" t="s">
        <v>211</v>
      </c>
      <c r="D118" s="19">
        <v>1420</v>
      </c>
      <c r="E118" s="19">
        <v>835</v>
      </c>
      <c r="F118" s="19">
        <v>625</v>
      </c>
      <c r="G118" s="19">
        <v>428</v>
      </c>
      <c r="H118" s="19">
        <v>365</v>
      </c>
    </row>
    <row r="119" spans="2:8" ht="15" thickBot="1">
      <c r="B119" s="9" t="s">
        <v>41</v>
      </c>
      <c r="C119" s="24" t="s">
        <v>212</v>
      </c>
      <c r="D119" s="23">
        <f>SUM(D120:D122)</f>
        <v>26560</v>
      </c>
      <c r="E119" s="23">
        <f t="shared" ref="E119:H119" si="21">SUM(E120:E122)</f>
        <v>44982</v>
      </c>
      <c r="F119" s="23">
        <f t="shared" si="21"/>
        <v>42562</v>
      </c>
      <c r="G119" s="23">
        <f t="shared" si="21"/>
        <v>29541</v>
      </c>
      <c r="H119" s="23">
        <f t="shared" si="21"/>
        <v>41078</v>
      </c>
    </row>
    <row r="120" spans="2:8" ht="15" thickBot="1">
      <c r="B120" s="9" t="s">
        <v>9</v>
      </c>
      <c r="C120" s="18" t="s">
        <v>213</v>
      </c>
      <c r="D120" s="19">
        <v>4835</v>
      </c>
      <c r="E120" s="19">
        <v>15235</v>
      </c>
      <c r="F120" s="19">
        <v>18206</v>
      </c>
      <c r="G120" s="19">
        <v>10183</v>
      </c>
      <c r="H120" s="19">
        <v>18932</v>
      </c>
    </row>
    <row r="121" spans="2:8" ht="15" thickBot="1">
      <c r="B121" s="9" t="s">
        <v>11</v>
      </c>
      <c r="C121" s="18" t="s">
        <v>214</v>
      </c>
      <c r="D121" s="22">
        <v>21725</v>
      </c>
      <c r="E121" s="22">
        <v>29747</v>
      </c>
      <c r="F121" s="22">
        <v>24356</v>
      </c>
      <c r="G121" s="22">
        <v>19358</v>
      </c>
      <c r="H121" s="22">
        <v>22146</v>
      </c>
    </row>
    <row r="122" spans="2:8" ht="15" thickBot="1">
      <c r="B122" s="9" t="s">
        <v>13</v>
      </c>
      <c r="C122" s="18" t="s">
        <v>215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</row>
    <row r="123" spans="2:8" ht="15" thickBot="1">
      <c r="B123" s="15" t="s">
        <v>216</v>
      </c>
      <c r="C123" s="21" t="s">
        <v>217</v>
      </c>
      <c r="D123" s="20">
        <f>SUM(D124:D125)</f>
        <v>716</v>
      </c>
      <c r="E123" s="20">
        <f t="shared" ref="E123:H123" si="22">SUM(E124:E125)</f>
        <v>389</v>
      </c>
      <c r="F123" s="20">
        <f t="shared" si="22"/>
        <v>409</v>
      </c>
      <c r="G123" s="20">
        <f t="shared" si="22"/>
        <v>1004</v>
      </c>
      <c r="H123" s="20">
        <f t="shared" si="22"/>
        <v>400</v>
      </c>
    </row>
    <row r="124" spans="2:8" ht="15" thickBot="1">
      <c r="B124" s="9" t="s">
        <v>9</v>
      </c>
      <c r="C124" s="18" t="s">
        <v>218</v>
      </c>
      <c r="D124" s="19">
        <v>623</v>
      </c>
      <c r="E124" s="19">
        <v>321</v>
      </c>
      <c r="F124" s="19">
        <v>340</v>
      </c>
      <c r="G124" s="19">
        <v>912</v>
      </c>
      <c r="H124" s="19">
        <v>325</v>
      </c>
    </row>
    <row r="125" spans="2:8" ht="15" thickBot="1">
      <c r="B125" s="9" t="s">
        <v>11</v>
      </c>
      <c r="C125" s="18" t="s">
        <v>219</v>
      </c>
      <c r="D125" s="19">
        <v>93</v>
      </c>
      <c r="E125" s="19">
        <v>68</v>
      </c>
      <c r="F125" s="19">
        <v>69</v>
      </c>
      <c r="G125" s="19">
        <v>92</v>
      </c>
      <c r="H125" s="19">
        <v>75</v>
      </c>
    </row>
  </sheetData>
  <mergeCells count="2">
    <mergeCell ref="D70:E70"/>
    <mergeCell ref="F70:G70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opLeftCell="B31" workbookViewId="0">
      <selection activeCell="D16" sqref="D16"/>
    </sheetView>
  </sheetViews>
  <sheetFormatPr baseColWidth="10" defaultColWidth="8.83203125" defaultRowHeight="14" x14ac:dyDescent="0"/>
  <cols>
    <col min="3" max="3" width="60.33203125" bestFit="1" customWidth="1"/>
    <col min="4" max="4" width="10" bestFit="1" customWidth="1"/>
    <col min="5" max="5" width="10" customWidth="1"/>
    <col min="6" max="6" width="10" bestFit="1" customWidth="1"/>
    <col min="7" max="7" width="10" customWidth="1"/>
    <col min="8" max="8" width="10" bestFit="1" customWidth="1"/>
    <col min="9" max="9" width="10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3.33203125" customWidth="1"/>
    <col min="16" max="16" width="15.1640625" customWidth="1"/>
  </cols>
  <sheetData>
    <row r="1" spans="1:17">
      <c r="B1" s="16" t="s">
        <v>404</v>
      </c>
    </row>
    <row r="2" spans="1:17">
      <c r="B2" s="16"/>
    </row>
    <row r="3" spans="1:17">
      <c r="B3" s="331" t="s">
        <v>0</v>
      </c>
      <c r="C3" s="349" t="s">
        <v>101</v>
      </c>
      <c r="D3" s="349">
        <v>2002</v>
      </c>
      <c r="E3" s="348" t="s">
        <v>290</v>
      </c>
      <c r="F3" s="349">
        <v>2003</v>
      </c>
      <c r="G3" s="348" t="s">
        <v>290</v>
      </c>
      <c r="H3" s="349">
        <v>2004</v>
      </c>
      <c r="I3" s="348" t="s">
        <v>290</v>
      </c>
      <c r="J3" s="349">
        <v>2005</v>
      </c>
      <c r="K3" s="348" t="s">
        <v>290</v>
      </c>
      <c r="L3" s="349">
        <v>2006</v>
      </c>
      <c r="M3" s="348" t="s">
        <v>290</v>
      </c>
      <c r="O3" t="s">
        <v>229</v>
      </c>
    </row>
    <row r="4" spans="1:17">
      <c r="B4" s="331"/>
      <c r="C4" s="349"/>
      <c r="D4" s="349"/>
      <c r="E4" s="348"/>
      <c r="F4" s="349"/>
      <c r="G4" s="348"/>
      <c r="H4" s="349"/>
      <c r="I4" s="348"/>
      <c r="J4" s="349"/>
      <c r="K4" s="348"/>
      <c r="L4" s="349"/>
      <c r="M4" s="348"/>
      <c r="O4" s="195" t="s">
        <v>230</v>
      </c>
      <c r="Q4" s="62">
        <f>(L21-D21)/D21</f>
        <v>0.71137383744498317</v>
      </c>
    </row>
    <row r="5" spans="1:17">
      <c r="B5" s="81"/>
      <c r="C5" s="92" t="s">
        <v>102</v>
      </c>
      <c r="D5" s="102">
        <v>152051</v>
      </c>
      <c r="E5" s="290">
        <f>D5/$D$5*100</f>
        <v>100</v>
      </c>
      <c r="F5" s="102">
        <v>193207</v>
      </c>
      <c r="G5" s="290">
        <f>F5/$F$5*100</f>
        <v>100</v>
      </c>
      <c r="H5" s="102">
        <v>211870</v>
      </c>
      <c r="I5" s="290">
        <f>H5/$H$5*100</f>
        <v>100</v>
      </c>
      <c r="J5" s="102">
        <v>220505</v>
      </c>
      <c r="K5" s="290">
        <f>J5/$J$5*100</f>
        <v>100</v>
      </c>
      <c r="L5" s="102">
        <v>241980</v>
      </c>
      <c r="M5" s="290">
        <f>L5/$L$5*100</f>
        <v>100</v>
      </c>
      <c r="O5" t="s">
        <v>231</v>
      </c>
      <c r="Q5" s="62">
        <f>D21/D5</f>
        <v>0.62648976330310224</v>
      </c>
    </row>
    <row r="6" spans="1:17">
      <c r="B6" s="175" t="s">
        <v>15</v>
      </c>
      <c r="C6" s="93" t="s">
        <v>104</v>
      </c>
      <c r="D6" s="102">
        <v>77972</v>
      </c>
      <c r="E6" s="290">
        <f t="shared" ref="E6:E14" si="0">D6/$D$5*100</f>
        <v>51.280162577030076</v>
      </c>
      <c r="F6" s="102">
        <v>110286</v>
      </c>
      <c r="G6" s="290">
        <f t="shared" ref="G6:G14" si="1">F6/$F$5*100</f>
        <v>57.081782751142562</v>
      </c>
      <c r="H6" s="102">
        <v>116276</v>
      </c>
      <c r="I6" s="290">
        <f t="shared" ref="I6:I14" si="2">H6/$H$5*100</f>
        <v>54.880823146268945</v>
      </c>
      <c r="J6" s="102">
        <v>111887</v>
      </c>
      <c r="K6" s="290">
        <f t="shared" ref="K6:K14" si="3">J6/$J$5*100</f>
        <v>50.741253032811052</v>
      </c>
      <c r="L6" s="102">
        <v>122053</v>
      </c>
      <c r="M6" s="290">
        <f t="shared" ref="M6:M14" si="4">L6/$L$5*100</f>
        <v>50.439292503512689</v>
      </c>
      <c r="O6" t="s">
        <v>232</v>
      </c>
      <c r="Q6" s="62">
        <f>L21/L5</f>
        <v>0.67370330192577899</v>
      </c>
    </row>
    <row r="7" spans="1:17">
      <c r="B7" s="94" t="s">
        <v>1</v>
      </c>
      <c r="C7" s="95" t="s">
        <v>105</v>
      </c>
      <c r="D7" s="145">
        <v>2068</v>
      </c>
      <c r="E7" s="290">
        <f t="shared" si="0"/>
        <v>1.3600699765210358</v>
      </c>
      <c r="F7" s="145">
        <v>2823</v>
      </c>
      <c r="G7" s="290">
        <f t="shared" si="1"/>
        <v>1.4611271848328478</v>
      </c>
      <c r="H7" s="145">
        <v>1747</v>
      </c>
      <c r="I7" s="290">
        <f t="shared" si="2"/>
        <v>0.82456223155708686</v>
      </c>
      <c r="J7" s="145">
        <v>2814</v>
      </c>
      <c r="K7" s="290">
        <f t="shared" si="3"/>
        <v>1.2761615382871137</v>
      </c>
      <c r="L7" s="145">
        <v>2673</v>
      </c>
      <c r="M7" s="290">
        <f t="shared" si="4"/>
        <v>1.1046367468385818</v>
      </c>
      <c r="O7" t="s">
        <v>233</v>
      </c>
      <c r="Q7" s="10">
        <f>J13-J30</f>
        <v>13933</v>
      </c>
    </row>
    <row r="8" spans="1:17">
      <c r="B8" s="94" t="s">
        <v>7</v>
      </c>
      <c r="C8" s="95" t="s">
        <v>118</v>
      </c>
      <c r="D8" s="102">
        <v>75904</v>
      </c>
      <c r="E8" s="290">
        <f t="shared" si="0"/>
        <v>49.920092600509044</v>
      </c>
      <c r="F8" s="102">
        <v>107463</v>
      </c>
      <c r="G8" s="290">
        <f t="shared" si="1"/>
        <v>55.620655566309708</v>
      </c>
      <c r="H8" s="102">
        <v>114529</v>
      </c>
      <c r="I8" s="290">
        <f t="shared" si="2"/>
        <v>54.056260914711849</v>
      </c>
      <c r="J8" s="102">
        <v>109073</v>
      </c>
      <c r="K8" s="290">
        <f t="shared" si="3"/>
        <v>49.465091494523932</v>
      </c>
      <c r="L8" s="102">
        <v>119380</v>
      </c>
      <c r="M8" s="290">
        <f t="shared" si="4"/>
        <v>49.33465575667411</v>
      </c>
      <c r="O8" t="s">
        <v>234</v>
      </c>
      <c r="Q8" s="10">
        <f>L13-L30</f>
        <v>16020</v>
      </c>
    </row>
    <row r="9" spans="1:17">
      <c r="B9" s="94" t="s">
        <v>31</v>
      </c>
      <c r="C9" s="95" t="s">
        <v>129</v>
      </c>
      <c r="D9" s="102">
        <v>0</v>
      </c>
      <c r="E9" s="290">
        <f t="shared" si="0"/>
        <v>0</v>
      </c>
      <c r="F9" s="102">
        <v>0</v>
      </c>
      <c r="G9" s="290">
        <f t="shared" si="1"/>
        <v>0</v>
      </c>
      <c r="H9" s="102">
        <v>0</v>
      </c>
      <c r="I9" s="290">
        <f t="shared" si="2"/>
        <v>0</v>
      </c>
      <c r="J9" s="102">
        <v>0</v>
      </c>
      <c r="K9" s="290">
        <f t="shared" si="3"/>
        <v>0</v>
      </c>
      <c r="L9" s="102">
        <v>0</v>
      </c>
      <c r="M9" s="290">
        <f t="shared" si="4"/>
        <v>0</v>
      </c>
      <c r="O9" t="s">
        <v>235</v>
      </c>
      <c r="Q9" s="10">
        <f>AVERAGE(D14,F14,H14,J14,L14)</f>
        <v>17102.599999999999</v>
      </c>
    </row>
    <row r="10" spans="1:17">
      <c r="A10" s="10"/>
      <c r="B10" s="175" t="s">
        <v>20</v>
      </c>
      <c r="C10" s="93" t="s">
        <v>137</v>
      </c>
      <c r="D10" s="102">
        <v>69989</v>
      </c>
      <c r="E10" s="290">
        <f t="shared" si="0"/>
        <v>46.029950477142542</v>
      </c>
      <c r="F10" s="102">
        <v>77665</v>
      </c>
      <c r="G10" s="290">
        <f t="shared" si="1"/>
        <v>40.197818919604359</v>
      </c>
      <c r="H10" s="102">
        <v>89365</v>
      </c>
      <c r="I10" s="290">
        <f t="shared" si="2"/>
        <v>42.179166470005192</v>
      </c>
      <c r="J10" s="102">
        <v>101171</v>
      </c>
      <c r="K10" s="290">
        <f t="shared" si="3"/>
        <v>45.881499285730484</v>
      </c>
      <c r="L10" s="102">
        <v>110661</v>
      </c>
      <c r="M10" s="290">
        <f t="shared" si="4"/>
        <v>45.731465410364493</v>
      </c>
      <c r="O10" t="s">
        <v>236</v>
      </c>
      <c r="Q10" s="10">
        <f>AVERAGE(D33,F33,H33,J33,L33)</f>
        <v>13478.2</v>
      </c>
    </row>
    <row r="11" spans="1:17">
      <c r="B11" s="94" t="s">
        <v>1</v>
      </c>
      <c r="C11" s="95" t="s">
        <v>138</v>
      </c>
      <c r="D11" s="102">
        <v>25104</v>
      </c>
      <c r="E11" s="290">
        <f t="shared" si="0"/>
        <v>16.51024985037915</v>
      </c>
      <c r="F11" s="102">
        <v>29283</v>
      </c>
      <c r="G11" s="290">
        <f t="shared" si="1"/>
        <v>15.156283157442536</v>
      </c>
      <c r="H11" s="102">
        <v>36662</v>
      </c>
      <c r="I11" s="290">
        <f t="shared" si="2"/>
        <v>17.3040071742106</v>
      </c>
      <c r="J11" s="102">
        <v>43562</v>
      </c>
      <c r="K11" s="290">
        <f t="shared" si="3"/>
        <v>19.755561098387791</v>
      </c>
      <c r="L11" s="102">
        <v>45208</v>
      </c>
      <c r="M11" s="290">
        <f t="shared" si="4"/>
        <v>18.682535746755928</v>
      </c>
    </row>
    <row r="12" spans="1:17">
      <c r="B12" s="94" t="s">
        <v>7</v>
      </c>
      <c r="C12" s="95" t="s">
        <v>145</v>
      </c>
      <c r="D12" s="102">
        <v>238</v>
      </c>
      <c r="E12" s="290">
        <f t="shared" si="0"/>
        <v>0.1565264286324983</v>
      </c>
      <c r="F12" s="102">
        <v>325</v>
      </c>
      <c r="G12" s="290">
        <f t="shared" si="1"/>
        <v>0.16821336701051204</v>
      </c>
      <c r="H12" s="102">
        <v>363</v>
      </c>
      <c r="I12" s="290">
        <f t="shared" si="2"/>
        <v>0.17133147684901118</v>
      </c>
      <c r="J12" s="102">
        <v>245</v>
      </c>
      <c r="K12" s="290">
        <f t="shared" si="3"/>
        <v>0.11110859164191289</v>
      </c>
      <c r="L12" s="102">
        <v>125</v>
      </c>
      <c r="M12" s="290">
        <f t="shared" si="4"/>
        <v>5.1657161748904869E-2</v>
      </c>
    </row>
    <row r="13" spans="1:17">
      <c r="B13" s="94" t="s">
        <v>31</v>
      </c>
      <c r="C13" s="95" t="s">
        <v>154</v>
      </c>
      <c r="D13" s="102">
        <v>26149</v>
      </c>
      <c r="E13" s="290">
        <f t="shared" si="0"/>
        <v>17.197519253408398</v>
      </c>
      <c r="F13" s="102">
        <v>29396</v>
      </c>
      <c r="G13" s="290">
        <f t="shared" si="1"/>
        <v>15.214769651203113</v>
      </c>
      <c r="H13" s="102">
        <v>37374</v>
      </c>
      <c r="I13" s="290">
        <f t="shared" si="2"/>
        <v>17.640062302355215</v>
      </c>
      <c r="J13" s="102">
        <v>43095</v>
      </c>
      <c r="K13" s="290">
        <f t="shared" si="3"/>
        <v>19.543774517584637</v>
      </c>
      <c r="L13" s="102">
        <v>46209</v>
      </c>
      <c r="M13" s="290">
        <f t="shared" si="4"/>
        <v>19.09620629804116</v>
      </c>
    </row>
    <row r="14" spans="1:17">
      <c r="B14" s="94" t="s">
        <v>41</v>
      </c>
      <c r="C14" s="95" t="s">
        <v>158</v>
      </c>
      <c r="D14" s="102">
        <v>18498</v>
      </c>
      <c r="E14" s="290">
        <f t="shared" si="0"/>
        <v>12.165654944722494</v>
      </c>
      <c r="F14" s="102">
        <v>18661</v>
      </c>
      <c r="G14" s="290">
        <f t="shared" si="1"/>
        <v>9.6585527439482011</v>
      </c>
      <c r="H14" s="102">
        <v>14966</v>
      </c>
      <c r="I14" s="290">
        <f t="shared" si="2"/>
        <v>7.0637655165903617</v>
      </c>
      <c r="J14" s="102">
        <v>14269</v>
      </c>
      <c r="K14" s="290">
        <f t="shared" si="3"/>
        <v>6.4710550781161418</v>
      </c>
      <c r="L14" s="102">
        <v>19119</v>
      </c>
      <c r="M14" s="290">
        <f t="shared" si="4"/>
        <v>7.9010662038184982</v>
      </c>
    </row>
    <row r="15" spans="1:17" s="32" customFormat="1">
      <c r="B15" s="31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17" s="32" customFormat="1">
      <c r="B16" s="31"/>
      <c r="D16" s="33"/>
      <c r="E16" s="33"/>
      <c r="F16" s="33"/>
      <c r="G16" s="33"/>
      <c r="H16" s="33"/>
      <c r="I16" s="33"/>
      <c r="J16" s="33"/>
      <c r="K16" s="33"/>
      <c r="L16" s="33"/>
      <c r="M16" s="33"/>
    </row>
    <row r="17" spans="1:13" s="32" customFormat="1">
      <c r="B17" s="288" t="s">
        <v>450</v>
      </c>
      <c r="D17" s="33"/>
      <c r="E17" s="33"/>
      <c r="F17" s="33"/>
      <c r="G17" s="33"/>
      <c r="H17" s="33"/>
      <c r="I17" s="33"/>
      <c r="J17" s="33"/>
      <c r="K17" s="33"/>
      <c r="L17" s="33"/>
      <c r="M17" s="33"/>
    </row>
    <row r="18" spans="1:13" s="32" customFormat="1">
      <c r="B18" s="175" t="s">
        <v>0</v>
      </c>
      <c r="C18" s="350" t="s">
        <v>168</v>
      </c>
      <c r="D18" s="349">
        <v>2002</v>
      </c>
      <c r="E18" s="348" t="s">
        <v>290</v>
      </c>
      <c r="F18" s="349">
        <v>2003</v>
      </c>
      <c r="G18" s="348" t="s">
        <v>290</v>
      </c>
      <c r="H18" s="349">
        <v>2004</v>
      </c>
      <c r="I18" s="348" t="s">
        <v>290</v>
      </c>
      <c r="J18" s="349">
        <v>2005</v>
      </c>
      <c r="K18" s="348" t="s">
        <v>290</v>
      </c>
      <c r="L18" s="349">
        <v>2006</v>
      </c>
      <c r="M18" s="348" t="s">
        <v>290</v>
      </c>
    </row>
    <row r="19" spans="1:13" s="32" customFormat="1">
      <c r="B19" s="175"/>
      <c r="C19" s="351"/>
      <c r="D19" s="349"/>
      <c r="E19" s="348"/>
      <c r="F19" s="349"/>
      <c r="G19" s="348"/>
      <c r="H19" s="349"/>
      <c r="I19" s="348"/>
      <c r="J19" s="349"/>
      <c r="K19" s="348"/>
      <c r="L19" s="349"/>
      <c r="M19" s="348"/>
    </row>
    <row r="20" spans="1:13">
      <c r="B20" s="81"/>
      <c r="C20" s="92" t="s">
        <v>169</v>
      </c>
      <c r="D20" s="102">
        <v>152051.39500000002</v>
      </c>
      <c r="E20" s="290">
        <f>D20/$D$20*100</f>
        <v>100</v>
      </c>
      <c r="F20" s="102">
        <v>193206.505</v>
      </c>
      <c r="G20" s="290">
        <f>F20/$F$20*100</f>
        <v>100</v>
      </c>
      <c r="H20" s="102">
        <v>211869.85700000002</v>
      </c>
      <c r="I20" s="290">
        <f>H20/$H$20*100</f>
        <v>100</v>
      </c>
      <c r="J20" s="102">
        <v>220504.83600000001</v>
      </c>
      <c r="K20" s="290">
        <f>J20/$J$20*100</f>
        <v>100</v>
      </c>
      <c r="L20" s="102">
        <v>241979.72500000001</v>
      </c>
      <c r="M20" s="290">
        <f>L20/$L$20*100</f>
        <v>100</v>
      </c>
    </row>
    <row r="21" spans="1:13">
      <c r="A21" s="10"/>
      <c r="B21" s="175" t="s">
        <v>3</v>
      </c>
      <c r="C21" s="93" t="s">
        <v>170</v>
      </c>
      <c r="D21" s="102">
        <v>95258.395000000004</v>
      </c>
      <c r="E21" s="290">
        <f t="shared" ref="E21:E34" si="5">D21/$D$20*100</f>
        <v>62.648813580434428</v>
      </c>
      <c r="F21" s="102">
        <v>119053.505</v>
      </c>
      <c r="G21" s="290">
        <f t="shared" ref="G21:G34" si="6">F21/$F$20*100</f>
        <v>61.619822272547189</v>
      </c>
      <c r="H21" s="102">
        <v>134771.85700000002</v>
      </c>
      <c r="I21" s="290">
        <f t="shared" ref="I21:I34" si="7">H21/$H$20*100</f>
        <v>63.610680116709574</v>
      </c>
      <c r="J21" s="102">
        <v>154213.83600000001</v>
      </c>
      <c r="K21" s="290">
        <f t="shared" ref="K21:K34" si="8">J21/$J$20*100</f>
        <v>69.936713768944287</v>
      </c>
      <c r="L21" s="102">
        <v>163022.72500000001</v>
      </c>
      <c r="M21" s="290">
        <f t="shared" ref="M21:M34" si="9">L21/$L$20*100</f>
        <v>67.370406756185872</v>
      </c>
    </row>
    <row r="22" spans="1:13">
      <c r="B22" s="94" t="s">
        <v>1</v>
      </c>
      <c r="C22" s="95" t="s">
        <v>171</v>
      </c>
      <c r="D22" s="102">
        <v>12000</v>
      </c>
      <c r="E22" s="290">
        <f t="shared" si="5"/>
        <v>7.8920683364989834</v>
      </c>
      <c r="F22" s="102">
        <v>12000</v>
      </c>
      <c r="G22" s="290">
        <f t="shared" si="6"/>
        <v>6.2109710022444631</v>
      </c>
      <c r="H22" s="102">
        <v>12000</v>
      </c>
      <c r="I22" s="290">
        <f t="shared" si="7"/>
        <v>5.6638542971216514</v>
      </c>
      <c r="J22" s="102">
        <v>12000</v>
      </c>
      <c r="K22" s="290">
        <f t="shared" si="8"/>
        <v>5.4420575156909488</v>
      </c>
      <c r="L22" s="102">
        <v>12000</v>
      </c>
      <c r="M22" s="290">
        <f t="shared" si="9"/>
        <v>4.9590931636937761</v>
      </c>
    </row>
    <row r="23" spans="1:13">
      <c r="B23" s="94" t="s">
        <v>31</v>
      </c>
      <c r="C23" s="95" t="s">
        <v>180</v>
      </c>
      <c r="D23" s="102">
        <v>1196</v>
      </c>
      <c r="E23" s="290">
        <f t="shared" si="5"/>
        <v>0.7865761442043987</v>
      </c>
      <c r="F23" s="102">
        <v>1191</v>
      </c>
      <c r="G23" s="290">
        <f t="shared" si="6"/>
        <v>0.61643887197276293</v>
      </c>
      <c r="H23" s="102">
        <v>1177</v>
      </c>
      <c r="I23" s="290">
        <f t="shared" si="7"/>
        <v>0.55552970897601528</v>
      </c>
      <c r="J23" s="102">
        <v>1186</v>
      </c>
      <c r="K23" s="290">
        <f t="shared" si="8"/>
        <v>0.53785668446745538</v>
      </c>
      <c r="L23" s="102">
        <v>1218</v>
      </c>
      <c r="M23" s="290">
        <f t="shared" si="9"/>
        <v>0.50334795611491834</v>
      </c>
    </row>
    <row r="24" spans="1:13">
      <c r="B24" s="94" t="s">
        <v>41</v>
      </c>
      <c r="C24" s="95" t="s">
        <v>183</v>
      </c>
      <c r="D24" s="102">
        <v>55356</v>
      </c>
      <c r="E24" s="290">
        <f t="shared" si="5"/>
        <v>36.406111236269808</v>
      </c>
      <c r="F24" s="102">
        <v>81162</v>
      </c>
      <c r="G24" s="290">
        <f t="shared" si="6"/>
        <v>42.00790237368043</v>
      </c>
      <c r="H24" s="102">
        <v>101263</v>
      </c>
      <c r="I24" s="290">
        <f t="shared" si="7"/>
        <v>47.794906474119152</v>
      </c>
      <c r="J24" s="102">
        <v>113984</v>
      </c>
      <c r="K24" s="290">
        <f t="shared" si="8"/>
        <v>51.692290322376422</v>
      </c>
      <c r="L24" s="102">
        <v>130321</v>
      </c>
      <c r="M24" s="290">
        <f t="shared" si="9"/>
        <v>53.856165015478055</v>
      </c>
    </row>
    <row r="25" spans="1:13">
      <c r="B25" s="94" t="s">
        <v>45</v>
      </c>
      <c r="C25" s="95" t="s">
        <v>186</v>
      </c>
      <c r="D25" s="102">
        <v>26706.395000000004</v>
      </c>
      <c r="E25" s="290">
        <f t="shared" si="5"/>
        <v>17.564057863461233</v>
      </c>
      <c r="F25" s="102">
        <v>24700.505000000005</v>
      </c>
      <c r="G25" s="290">
        <f t="shared" si="6"/>
        <v>12.784510024649535</v>
      </c>
      <c r="H25" s="102">
        <v>20331.857000000004</v>
      </c>
      <c r="I25" s="290">
        <f t="shared" si="7"/>
        <v>9.5963896364927468</v>
      </c>
      <c r="J25" s="102">
        <v>27043.835999999996</v>
      </c>
      <c r="K25" s="290">
        <f t="shared" si="8"/>
        <v>12.264509246409451</v>
      </c>
      <c r="L25" s="102">
        <v>19483.725000000006</v>
      </c>
      <c r="M25" s="290">
        <f t="shared" si="9"/>
        <v>8.0518006208991277</v>
      </c>
    </row>
    <row r="26" spans="1:13">
      <c r="A26" s="10"/>
      <c r="B26" s="175" t="s">
        <v>15</v>
      </c>
      <c r="C26" s="93" t="s">
        <v>187</v>
      </c>
      <c r="D26" s="102">
        <v>56077</v>
      </c>
      <c r="E26" s="290">
        <f t="shared" si="5"/>
        <v>36.880293008821127</v>
      </c>
      <c r="F26" s="102">
        <v>73764</v>
      </c>
      <c r="G26" s="290">
        <f t="shared" si="6"/>
        <v>38.178838750796714</v>
      </c>
      <c r="H26" s="102">
        <v>76689</v>
      </c>
      <c r="I26" s="290">
        <f t="shared" si="7"/>
        <v>36.196276849330197</v>
      </c>
      <c r="J26" s="102">
        <v>65287</v>
      </c>
      <c r="K26" s="290">
        <f t="shared" si="8"/>
        <v>29.607967418909574</v>
      </c>
      <c r="L26" s="102">
        <v>78557</v>
      </c>
      <c r="M26" s="290">
        <f t="shared" si="9"/>
        <v>32.464290138357669</v>
      </c>
    </row>
    <row r="27" spans="1:13">
      <c r="B27" s="94" t="s">
        <v>1</v>
      </c>
      <c r="C27" s="95" t="s">
        <v>188</v>
      </c>
      <c r="D27" s="102">
        <v>1455</v>
      </c>
      <c r="E27" s="290">
        <f t="shared" si="5"/>
        <v>0.95691328580050172</v>
      </c>
      <c r="F27" s="102">
        <v>1112</v>
      </c>
      <c r="G27" s="290">
        <f t="shared" si="6"/>
        <v>0.57554997954132026</v>
      </c>
      <c r="H27" s="102">
        <v>985</v>
      </c>
      <c r="I27" s="290">
        <f t="shared" si="7"/>
        <v>0.46490804022206889</v>
      </c>
      <c r="J27" s="102">
        <v>845</v>
      </c>
      <c r="K27" s="290">
        <f t="shared" si="8"/>
        <v>0.38321155006323759</v>
      </c>
      <c r="L27" s="102">
        <v>716</v>
      </c>
      <c r="M27" s="290">
        <f t="shared" si="9"/>
        <v>0.295892558767062</v>
      </c>
    </row>
    <row r="28" spans="1:13">
      <c r="B28" s="94" t="s">
        <v>7</v>
      </c>
      <c r="C28" s="95" t="s">
        <v>193</v>
      </c>
      <c r="D28" s="102">
        <v>3235</v>
      </c>
      <c r="E28" s="290">
        <f t="shared" si="5"/>
        <v>2.1275700890478508</v>
      </c>
      <c r="F28" s="102">
        <v>4428</v>
      </c>
      <c r="G28" s="290">
        <f t="shared" si="6"/>
        <v>2.291848299828207</v>
      </c>
      <c r="H28" s="102">
        <v>4949</v>
      </c>
      <c r="I28" s="290">
        <f t="shared" si="7"/>
        <v>2.335867909704588</v>
      </c>
      <c r="J28" s="102">
        <v>5739</v>
      </c>
      <c r="K28" s="290">
        <f t="shared" si="8"/>
        <v>2.6026640068791957</v>
      </c>
      <c r="L28" s="102">
        <v>6574</v>
      </c>
      <c r="M28" s="290">
        <f t="shared" si="9"/>
        <v>2.7167565381769072</v>
      </c>
    </row>
    <row r="29" spans="1:13">
      <c r="B29" s="94" t="s">
        <v>203</v>
      </c>
      <c r="C29" s="75" t="s">
        <v>204</v>
      </c>
      <c r="D29" s="103">
        <v>3235</v>
      </c>
      <c r="E29" s="290">
        <f t="shared" si="5"/>
        <v>2.1275700890478508</v>
      </c>
      <c r="F29" s="103">
        <v>4428</v>
      </c>
      <c r="G29" s="290">
        <f t="shared" si="6"/>
        <v>2.291848299828207</v>
      </c>
      <c r="H29" s="103">
        <v>4949</v>
      </c>
      <c r="I29" s="290">
        <f t="shared" si="7"/>
        <v>2.335867909704588</v>
      </c>
      <c r="J29" s="103">
        <v>5739</v>
      </c>
      <c r="K29" s="290">
        <f t="shared" si="8"/>
        <v>2.6026640068791957</v>
      </c>
      <c r="L29" s="103">
        <v>6574</v>
      </c>
      <c r="M29" s="290">
        <f t="shared" si="9"/>
        <v>2.7167565381769072</v>
      </c>
    </row>
    <row r="30" spans="1:13">
      <c r="B30" s="94" t="s">
        <v>31</v>
      </c>
      <c r="C30" s="95" t="s">
        <v>205</v>
      </c>
      <c r="D30" s="102">
        <v>24827</v>
      </c>
      <c r="E30" s="290">
        <f t="shared" si="5"/>
        <v>16.328031715855023</v>
      </c>
      <c r="F30" s="102">
        <v>23242</v>
      </c>
      <c r="G30" s="290">
        <f t="shared" si="6"/>
        <v>12.029615669513818</v>
      </c>
      <c r="H30" s="102">
        <v>28193</v>
      </c>
      <c r="I30" s="290">
        <f t="shared" si="7"/>
        <v>13.306753683229228</v>
      </c>
      <c r="J30" s="102">
        <v>29162</v>
      </c>
      <c r="K30" s="290">
        <f t="shared" si="8"/>
        <v>13.225106772714954</v>
      </c>
      <c r="L30" s="102">
        <v>30189</v>
      </c>
      <c r="M30" s="290">
        <f t="shared" si="9"/>
        <v>12.475838626562616</v>
      </c>
    </row>
    <row r="31" spans="1:13">
      <c r="B31" s="94" t="s">
        <v>9</v>
      </c>
      <c r="C31" s="75" t="s">
        <v>194</v>
      </c>
      <c r="D31" s="103">
        <v>14233</v>
      </c>
      <c r="E31" s="290">
        <f t="shared" si="5"/>
        <v>9.3606507194491684</v>
      </c>
      <c r="F31" s="103">
        <v>16328</v>
      </c>
      <c r="G31" s="290">
        <f t="shared" si="6"/>
        <v>8.4510612103873015</v>
      </c>
      <c r="H31" s="103">
        <v>17414</v>
      </c>
      <c r="I31" s="290">
        <f t="shared" si="7"/>
        <v>8.2191965608397037</v>
      </c>
      <c r="J31" s="103">
        <v>15328</v>
      </c>
      <c r="K31" s="290">
        <f t="shared" si="8"/>
        <v>6.9513214667092367</v>
      </c>
      <c r="L31" s="103">
        <v>18245</v>
      </c>
      <c r="M31" s="290">
        <f t="shared" si="9"/>
        <v>7.5398878976327453</v>
      </c>
    </row>
    <row r="32" spans="1:13">
      <c r="B32" s="94" t="s">
        <v>41</v>
      </c>
      <c r="C32" s="95" t="s">
        <v>212</v>
      </c>
      <c r="D32" s="102">
        <v>26560</v>
      </c>
      <c r="E32" s="290">
        <f t="shared" si="5"/>
        <v>17.467777918117751</v>
      </c>
      <c r="F32" s="102">
        <v>44982</v>
      </c>
      <c r="G32" s="290">
        <f t="shared" si="6"/>
        <v>23.281824801913373</v>
      </c>
      <c r="H32" s="102">
        <v>42562</v>
      </c>
      <c r="I32" s="290">
        <f t="shared" si="7"/>
        <v>20.088747216174312</v>
      </c>
      <c r="J32" s="102">
        <v>29541</v>
      </c>
      <c r="K32" s="290">
        <f t="shared" si="8"/>
        <v>13.396985089252192</v>
      </c>
      <c r="L32" s="102">
        <v>41078</v>
      </c>
      <c r="M32" s="290">
        <f t="shared" si="9"/>
        <v>16.975802414851078</v>
      </c>
    </row>
    <row r="33" spans="2:13">
      <c r="B33" s="94" t="s">
        <v>9</v>
      </c>
      <c r="C33" s="75" t="s">
        <v>213</v>
      </c>
      <c r="D33" s="103">
        <v>4835</v>
      </c>
      <c r="E33" s="290">
        <f t="shared" si="5"/>
        <v>3.1798458672477152</v>
      </c>
      <c r="F33" s="103">
        <v>15235</v>
      </c>
      <c r="G33" s="290">
        <f t="shared" si="6"/>
        <v>7.8853452682662004</v>
      </c>
      <c r="H33" s="103">
        <v>18206</v>
      </c>
      <c r="I33" s="290">
        <f t="shared" si="7"/>
        <v>8.593010944449734</v>
      </c>
      <c r="J33" s="103">
        <v>10183</v>
      </c>
      <c r="K33" s="290">
        <f t="shared" si="8"/>
        <v>4.618039306856744</v>
      </c>
      <c r="L33" s="103">
        <v>18932</v>
      </c>
      <c r="M33" s="290">
        <f t="shared" si="9"/>
        <v>7.8237959812542144</v>
      </c>
    </row>
    <row r="34" spans="2:13">
      <c r="B34" s="94" t="s">
        <v>11</v>
      </c>
      <c r="C34" s="75" t="s">
        <v>214</v>
      </c>
      <c r="D34" s="103">
        <v>21725</v>
      </c>
      <c r="E34" s="290">
        <f t="shared" si="5"/>
        <v>14.287932050870033</v>
      </c>
      <c r="F34" s="103">
        <v>29747</v>
      </c>
      <c r="G34" s="290">
        <f t="shared" si="6"/>
        <v>15.396479533647172</v>
      </c>
      <c r="H34" s="103">
        <v>24356</v>
      </c>
      <c r="I34" s="290">
        <f t="shared" si="7"/>
        <v>11.49573627172458</v>
      </c>
      <c r="J34" s="103">
        <v>19358</v>
      </c>
      <c r="K34" s="290">
        <f t="shared" si="8"/>
        <v>8.7789457823954482</v>
      </c>
      <c r="L34" s="103">
        <v>22146</v>
      </c>
      <c r="M34" s="290">
        <f t="shared" si="9"/>
        <v>9.1520064335968634</v>
      </c>
    </row>
    <row r="36" spans="2:13">
      <c r="E36" s="186">
        <v>2002</v>
      </c>
      <c r="F36" s="187">
        <v>2003</v>
      </c>
      <c r="G36" s="186">
        <v>2004</v>
      </c>
      <c r="H36" s="187">
        <v>2005</v>
      </c>
      <c r="I36" s="186">
        <v>2006</v>
      </c>
    </row>
    <row r="38" spans="2:13">
      <c r="C38" s="16" t="s">
        <v>405</v>
      </c>
    </row>
    <row r="39" spans="2:13">
      <c r="J39" t="s">
        <v>324</v>
      </c>
    </row>
    <row r="40" spans="2:13">
      <c r="J40" t="s">
        <v>326</v>
      </c>
    </row>
    <row r="41" spans="2:13">
      <c r="J41" t="s">
        <v>325</v>
      </c>
      <c r="M41" s="196">
        <f>((L5-D5)/D5)*100</f>
        <v>59.143971430638409</v>
      </c>
    </row>
    <row r="42" spans="2:13">
      <c r="J42" t="s">
        <v>327</v>
      </c>
      <c r="M42" s="196">
        <f>((L6-D6)/D6)*100</f>
        <v>56.534396963012369</v>
      </c>
    </row>
    <row r="43" spans="2:13">
      <c r="J43" t="s">
        <v>328</v>
      </c>
      <c r="M43" s="196">
        <f>((L10-D10)/D10)*100</f>
        <v>58.111989026847077</v>
      </c>
    </row>
    <row r="44" spans="2:13">
      <c r="J44" t="s">
        <v>329</v>
      </c>
      <c r="M44" s="196">
        <f>((L11-D11)/D11)*100</f>
        <v>80.082855321861061</v>
      </c>
    </row>
    <row r="45" spans="2:13">
      <c r="J45" t="s">
        <v>330</v>
      </c>
      <c r="M45" s="196">
        <f>((L13-D13)/D13)*100</f>
        <v>76.714214692722464</v>
      </c>
    </row>
    <row r="68" spans="3:3">
      <c r="C68" s="16" t="s">
        <v>406</v>
      </c>
    </row>
  </sheetData>
  <mergeCells count="23">
    <mergeCell ref="L18:L19"/>
    <mergeCell ref="B3:B4"/>
    <mergeCell ref="C3:C4"/>
    <mergeCell ref="D3:D4"/>
    <mergeCell ref="F3:F4"/>
    <mergeCell ref="H3:H4"/>
    <mergeCell ref="C18:C19"/>
    <mergeCell ref="M3:M4"/>
    <mergeCell ref="M18:M19"/>
    <mergeCell ref="D18:D19"/>
    <mergeCell ref="F18:F19"/>
    <mergeCell ref="H18:H19"/>
    <mergeCell ref="E3:E4"/>
    <mergeCell ref="G3:G4"/>
    <mergeCell ref="I3:I4"/>
    <mergeCell ref="K3:K4"/>
    <mergeCell ref="E18:E19"/>
    <mergeCell ref="G18:G19"/>
    <mergeCell ref="I18:I19"/>
    <mergeCell ref="K18:K19"/>
    <mergeCell ref="J3:J4"/>
    <mergeCell ref="L3:L4"/>
    <mergeCell ref="J18:J19"/>
  </mergeCells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7"/>
  <sheetViews>
    <sheetView workbookViewId="0">
      <selection activeCell="R59" sqref="R59"/>
    </sheetView>
  </sheetViews>
  <sheetFormatPr baseColWidth="10" defaultColWidth="8.83203125" defaultRowHeight="14" x14ac:dyDescent="0"/>
  <cols>
    <col min="3" max="3" width="58.6640625" bestFit="1" customWidth="1"/>
    <col min="4" max="7" width="9.1640625" customWidth="1"/>
  </cols>
  <sheetData>
    <row r="1" spans="2:16">
      <c r="B1" s="16" t="s">
        <v>277</v>
      </c>
    </row>
    <row r="2" spans="2:16" ht="15" thickBot="1"/>
    <row r="3" spans="2:16" ht="15" thickBot="1">
      <c r="B3" s="1" t="s">
        <v>0</v>
      </c>
      <c r="C3" s="173"/>
      <c r="D3" s="324">
        <v>2002</v>
      </c>
      <c r="E3" s="324">
        <v>2003</v>
      </c>
      <c r="F3" s="326" t="s">
        <v>223</v>
      </c>
      <c r="G3" s="327"/>
      <c r="H3" s="324">
        <v>2004</v>
      </c>
      <c r="I3" s="326" t="s">
        <v>220</v>
      </c>
      <c r="J3" s="327"/>
      <c r="K3" s="3">
        <v>2005</v>
      </c>
      <c r="L3" s="326" t="s">
        <v>224</v>
      </c>
      <c r="M3" s="327"/>
      <c r="N3" s="3">
        <v>2006</v>
      </c>
      <c r="O3" s="326" t="s">
        <v>225</v>
      </c>
      <c r="P3" s="327"/>
    </row>
    <row r="4" spans="2:16" ht="15" thickBot="1">
      <c r="B4" s="172"/>
      <c r="C4" s="18"/>
      <c r="D4" s="325"/>
      <c r="E4" s="325"/>
      <c r="F4" s="26" t="s">
        <v>221</v>
      </c>
      <c r="G4" s="26" t="s">
        <v>222</v>
      </c>
      <c r="H4" s="325"/>
      <c r="I4" s="26" t="s">
        <v>221</v>
      </c>
      <c r="J4" s="26" t="s">
        <v>222</v>
      </c>
      <c r="K4" s="174"/>
      <c r="L4" s="26" t="s">
        <v>221</v>
      </c>
      <c r="M4" s="26" t="s">
        <v>222</v>
      </c>
      <c r="N4" s="174"/>
      <c r="O4" s="26" t="s">
        <v>221</v>
      </c>
      <c r="P4" s="26" t="s">
        <v>222</v>
      </c>
    </row>
    <row r="5" spans="2:16" ht="15" thickBot="1">
      <c r="B5" s="9" t="s">
        <v>1</v>
      </c>
      <c r="C5" s="5" t="s">
        <v>2</v>
      </c>
      <c r="D5" s="132">
        <v>43321</v>
      </c>
      <c r="E5" s="132">
        <v>37245</v>
      </c>
      <c r="F5" s="27">
        <f>E5-D5</f>
        <v>-6076</v>
      </c>
      <c r="G5" s="28">
        <f>(E5-D5)/ABS(D5)*100</f>
        <v>-14.025530343251541</v>
      </c>
      <c r="H5" s="132">
        <v>42932</v>
      </c>
      <c r="I5" s="27">
        <f>H5-E5</f>
        <v>5687</v>
      </c>
      <c r="J5" s="28">
        <f>(H5-E5)/ABS(E5)*100</f>
        <v>15.269163646126996</v>
      </c>
      <c r="K5" s="132">
        <v>41156</v>
      </c>
      <c r="L5" s="27">
        <f>K5-H5</f>
        <v>-1776</v>
      </c>
      <c r="M5" s="28">
        <f>(K5-H5)/ABS(H5)*100</f>
        <v>-4.1367744339886334</v>
      </c>
      <c r="N5" s="132">
        <v>44963</v>
      </c>
      <c r="O5" s="27">
        <f>N5-K5</f>
        <v>3807</v>
      </c>
      <c r="P5" s="29">
        <f>(N5-K5)/ABS(K5)*100</f>
        <v>9.2501700845563217</v>
      </c>
    </row>
    <row r="6" spans="2:16" ht="15" thickBot="1">
      <c r="B6" s="9" t="s">
        <v>3</v>
      </c>
      <c r="C6" s="5" t="s">
        <v>4</v>
      </c>
      <c r="D6" s="132">
        <v>36025</v>
      </c>
      <c r="E6" s="132">
        <v>25163</v>
      </c>
      <c r="F6" s="27">
        <f t="shared" ref="F6:F65" si="0">E6-D6</f>
        <v>-10862</v>
      </c>
      <c r="G6" s="28">
        <f t="shared" ref="G6:G65" si="1">(E6-D6)/ABS(D6)*100</f>
        <v>-30.151283830673144</v>
      </c>
      <c r="H6" s="132">
        <v>28142</v>
      </c>
      <c r="I6" s="27">
        <f t="shared" ref="I6:I65" si="2">H6-E6</f>
        <v>2979</v>
      </c>
      <c r="J6" s="28">
        <f t="shared" ref="J6:J65" si="3">(H6-E6)/ABS(E6)*100</f>
        <v>11.838810952589117</v>
      </c>
      <c r="K6" s="132">
        <v>26458</v>
      </c>
      <c r="L6" s="27">
        <f t="shared" ref="L6:L65" si="4">K6-H6</f>
        <v>-1684</v>
      </c>
      <c r="M6" s="28">
        <f t="shared" ref="M6:M65" si="5">(K6-H6)/ABS(H6)*100</f>
        <v>-5.9839385971146335</v>
      </c>
      <c r="N6" s="132">
        <v>29933</v>
      </c>
      <c r="O6" s="27">
        <f t="shared" ref="O6:O65" si="6">N6-K6</f>
        <v>3475</v>
      </c>
      <c r="P6" s="29">
        <f t="shared" ref="P6:P65" si="7">(N6-K6)/ABS(K6)*100</f>
        <v>13.134023735732104</v>
      </c>
    </row>
    <row r="7" spans="2:16" ht="15" thickBot="1">
      <c r="B7" s="9" t="s">
        <v>5</v>
      </c>
      <c r="C7" s="5" t="s">
        <v>6</v>
      </c>
      <c r="D7" s="133">
        <f>D5-D6</f>
        <v>7296</v>
      </c>
      <c r="E7" s="133">
        <f t="shared" ref="E7" si="8">E5-E6</f>
        <v>12082</v>
      </c>
      <c r="F7" s="30">
        <f t="shared" si="0"/>
        <v>4786</v>
      </c>
      <c r="G7" s="28">
        <f t="shared" si="1"/>
        <v>65.597587719298247</v>
      </c>
      <c r="H7" s="133">
        <f t="shared" ref="H7" si="9">H5-H6</f>
        <v>14790</v>
      </c>
      <c r="I7" s="30">
        <f t="shared" si="2"/>
        <v>2708</v>
      </c>
      <c r="J7" s="28">
        <f t="shared" si="3"/>
        <v>22.413507697401091</v>
      </c>
      <c r="K7" s="133">
        <f t="shared" ref="K7" si="10">K5-K6</f>
        <v>14698</v>
      </c>
      <c r="L7" s="30">
        <f t="shared" si="4"/>
        <v>-92</v>
      </c>
      <c r="M7" s="28">
        <f t="shared" si="5"/>
        <v>-0.6220419202163624</v>
      </c>
      <c r="N7" s="133">
        <f t="shared" ref="N7" si="11">N5-N6</f>
        <v>15030</v>
      </c>
      <c r="O7" s="30">
        <f t="shared" si="6"/>
        <v>332</v>
      </c>
      <c r="P7" s="29">
        <f t="shared" si="7"/>
        <v>2.2588107225472851</v>
      </c>
    </row>
    <row r="8" spans="2:16" ht="15" thickBot="1">
      <c r="B8" s="9" t="s">
        <v>7</v>
      </c>
      <c r="C8" s="5" t="s">
        <v>8</v>
      </c>
      <c r="D8" s="133">
        <f>SUM(D9:D11)</f>
        <v>224907</v>
      </c>
      <c r="E8" s="133">
        <f t="shared" ref="E8" si="12">SUM(E9:E11)</f>
        <v>233843</v>
      </c>
      <c r="F8" s="27">
        <f t="shared" si="0"/>
        <v>8936</v>
      </c>
      <c r="G8" s="28">
        <f t="shared" si="1"/>
        <v>3.9731978106506243</v>
      </c>
      <c r="H8" s="133">
        <f t="shared" ref="H8" si="13">SUM(H9:H11)</f>
        <v>260125</v>
      </c>
      <c r="I8" s="27">
        <f t="shared" si="2"/>
        <v>26282</v>
      </c>
      <c r="J8" s="28">
        <f t="shared" si="3"/>
        <v>11.239164738734964</v>
      </c>
      <c r="K8" s="133">
        <f t="shared" ref="K8" si="14">SUM(K9:K11)</f>
        <v>278525</v>
      </c>
      <c r="L8" s="27">
        <f t="shared" si="4"/>
        <v>18400</v>
      </c>
      <c r="M8" s="28">
        <f t="shared" si="5"/>
        <v>7.0735223450264302</v>
      </c>
      <c r="N8" s="133">
        <f t="shared" ref="N8" si="15">SUM(N9:N11)</f>
        <v>263231</v>
      </c>
      <c r="O8" s="27">
        <f t="shared" si="6"/>
        <v>-15294</v>
      </c>
      <c r="P8" s="29">
        <f t="shared" si="7"/>
        <v>-5.4910690243245668</v>
      </c>
    </row>
    <row r="9" spans="2:16" ht="15" thickBot="1">
      <c r="B9" s="9" t="s">
        <v>9</v>
      </c>
      <c r="C9" s="5" t="s">
        <v>10</v>
      </c>
      <c r="D9" s="132">
        <v>223842</v>
      </c>
      <c r="E9" s="132">
        <v>232625</v>
      </c>
      <c r="F9" s="27">
        <f t="shared" si="0"/>
        <v>8783</v>
      </c>
      <c r="G9" s="28">
        <f t="shared" si="1"/>
        <v>3.9237497877967495</v>
      </c>
      <c r="H9" s="132">
        <v>253348</v>
      </c>
      <c r="I9" s="27">
        <f t="shared" si="2"/>
        <v>20723</v>
      </c>
      <c r="J9" s="28">
        <f t="shared" si="3"/>
        <v>8.9083288554540569</v>
      </c>
      <c r="K9" s="132">
        <v>273245</v>
      </c>
      <c r="L9" s="27">
        <f t="shared" si="4"/>
        <v>19897</v>
      </c>
      <c r="M9" s="28">
        <f t="shared" si="5"/>
        <v>7.853624263858408</v>
      </c>
      <c r="N9" s="132">
        <v>263895</v>
      </c>
      <c r="O9" s="27">
        <f t="shared" si="6"/>
        <v>-9350</v>
      </c>
      <c r="P9" s="29">
        <f t="shared" si="7"/>
        <v>-3.4218375450602938</v>
      </c>
    </row>
    <row r="10" spans="2:16" ht="15" thickBot="1">
      <c r="B10" s="9" t="s">
        <v>11</v>
      </c>
      <c r="C10" s="5" t="s">
        <v>12</v>
      </c>
      <c r="D10" s="132">
        <v>420</v>
      </c>
      <c r="E10" s="134">
        <v>235</v>
      </c>
      <c r="F10" s="27">
        <f t="shared" si="0"/>
        <v>-185</v>
      </c>
      <c r="G10" s="28">
        <f t="shared" si="1"/>
        <v>-44.047619047619044</v>
      </c>
      <c r="H10" s="134">
        <v>5723</v>
      </c>
      <c r="I10" s="27">
        <f t="shared" si="2"/>
        <v>5488</v>
      </c>
      <c r="J10" s="28">
        <f t="shared" si="3"/>
        <v>2335.3191489361702</v>
      </c>
      <c r="K10" s="134">
        <v>3942</v>
      </c>
      <c r="L10" s="27">
        <f t="shared" si="4"/>
        <v>-1781</v>
      </c>
      <c r="M10" s="28">
        <f t="shared" si="5"/>
        <v>-31.120041936047528</v>
      </c>
      <c r="N10" s="134">
        <v>-1563</v>
      </c>
      <c r="O10" s="27">
        <f t="shared" si="6"/>
        <v>-5505</v>
      </c>
      <c r="P10" s="29">
        <f t="shared" si="7"/>
        <v>-139.64992389649925</v>
      </c>
    </row>
    <row r="11" spans="2:16" ht="15" thickBot="1">
      <c r="B11" s="9" t="s">
        <v>13</v>
      </c>
      <c r="C11" s="5" t="s">
        <v>14</v>
      </c>
      <c r="D11" s="132">
        <v>645</v>
      </c>
      <c r="E11" s="134">
        <v>983</v>
      </c>
      <c r="F11" s="27">
        <f t="shared" si="0"/>
        <v>338</v>
      </c>
      <c r="G11" s="28">
        <f t="shared" si="1"/>
        <v>52.403100775193799</v>
      </c>
      <c r="H11" s="134">
        <v>1054</v>
      </c>
      <c r="I11" s="27">
        <f t="shared" si="2"/>
        <v>71</v>
      </c>
      <c r="J11" s="28">
        <f t="shared" si="3"/>
        <v>7.222787385554426</v>
      </c>
      <c r="K11" s="134">
        <v>1338</v>
      </c>
      <c r="L11" s="27">
        <f t="shared" si="4"/>
        <v>284</v>
      </c>
      <c r="M11" s="28">
        <f t="shared" si="5"/>
        <v>26.944971537001898</v>
      </c>
      <c r="N11" s="134">
        <v>899</v>
      </c>
      <c r="O11" s="27">
        <f t="shared" si="6"/>
        <v>-439</v>
      </c>
      <c r="P11" s="29">
        <f t="shared" si="7"/>
        <v>-32.810164424514198</v>
      </c>
    </row>
    <row r="12" spans="2:16" ht="15" thickBot="1">
      <c r="B12" s="9" t="s">
        <v>15</v>
      </c>
      <c r="C12" s="5" t="s">
        <v>16</v>
      </c>
      <c r="D12" s="133">
        <f>SUM(D13:D14)</f>
        <v>133900</v>
      </c>
      <c r="E12" s="133">
        <f t="shared" ref="E12" si="16">SUM(E13:E14)</f>
        <v>139788</v>
      </c>
      <c r="F12" s="30">
        <f t="shared" si="0"/>
        <v>5888</v>
      </c>
      <c r="G12" s="28">
        <f t="shared" si="1"/>
        <v>4.3973114264376401</v>
      </c>
      <c r="H12" s="133">
        <f t="shared" ref="H12" si="17">SUM(H13:H14)</f>
        <v>159790</v>
      </c>
      <c r="I12" s="30">
        <f t="shared" si="2"/>
        <v>20002</v>
      </c>
      <c r="J12" s="28">
        <f t="shared" si="3"/>
        <v>14.308810484447879</v>
      </c>
      <c r="K12" s="133">
        <f t="shared" ref="K12" si="18">SUM(K13:K14)</f>
        <v>158259</v>
      </c>
      <c r="L12" s="30">
        <f t="shared" si="4"/>
        <v>-1531</v>
      </c>
      <c r="M12" s="28">
        <f t="shared" si="5"/>
        <v>-0.9581325489705238</v>
      </c>
      <c r="N12" s="133">
        <f t="shared" ref="N12" si="19">SUM(N13:N14)</f>
        <v>151370</v>
      </c>
      <c r="O12" s="30">
        <f t="shared" si="6"/>
        <v>-6889</v>
      </c>
      <c r="P12" s="29">
        <f t="shared" si="7"/>
        <v>-4.35299098313524</v>
      </c>
    </row>
    <row r="13" spans="2:16" ht="15" thickBot="1">
      <c r="B13" s="9" t="s">
        <v>9</v>
      </c>
      <c r="C13" s="5" t="s">
        <v>17</v>
      </c>
      <c r="D13" s="132">
        <v>84935</v>
      </c>
      <c r="E13" s="132">
        <v>95843</v>
      </c>
      <c r="F13" s="27">
        <f t="shared" si="0"/>
        <v>10908</v>
      </c>
      <c r="G13" s="28">
        <f t="shared" si="1"/>
        <v>12.842762112203449</v>
      </c>
      <c r="H13" s="132">
        <v>106945</v>
      </c>
      <c r="I13" s="27">
        <f t="shared" si="2"/>
        <v>11102</v>
      </c>
      <c r="J13" s="28">
        <f t="shared" si="3"/>
        <v>11.583527226818861</v>
      </c>
      <c r="K13" s="132">
        <v>101328</v>
      </c>
      <c r="L13" s="27">
        <f t="shared" si="4"/>
        <v>-5617</v>
      </c>
      <c r="M13" s="28">
        <f t="shared" si="5"/>
        <v>-5.2522324559352942</v>
      </c>
      <c r="N13" s="132">
        <v>95045</v>
      </c>
      <c r="O13" s="27">
        <f t="shared" si="6"/>
        <v>-6283</v>
      </c>
      <c r="P13" s="29">
        <f t="shared" si="7"/>
        <v>-6.200655297647244</v>
      </c>
    </row>
    <row r="14" spans="2:16" ht="15" thickBot="1">
      <c r="B14" s="9" t="s">
        <v>11</v>
      </c>
      <c r="C14" s="5" t="s">
        <v>18</v>
      </c>
      <c r="D14" s="132">
        <v>48965</v>
      </c>
      <c r="E14" s="132">
        <v>43945</v>
      </c>
      <c r="F14" s="27">
        <f t="shared" si="0"/>
        <v>-5020</v>
      </c>
      <c r="G14" s="28">
        <f t="shared" si="1"/>
        <v>-10.252220974165221</v>
      </c>
      <c r="H14" s="132">
        <v>52845</v>
      </c>
      <c r="I14" s="27">
        <f t="shared" si="2"/>
        <v>8900</v>
      </c>
      <c r="J14" s="28">
        <f t="shared" si="3"/>
        <v>20.252588462851293</v>
      </c>
      <c r="K14" s="132">
        <v>56931</v>
      </c>
      <c r="L14" s="27">
        <f t="shared" si="4"/>
        <v>4086</v>
      </c>
      <c r="M14" s="28">
        <f t="shared" si="5"/>
        <v>7.7320465512347436</v>
      </c>
      <c r="N14" s="132">
        <v>56325</v>
      </c>
      <c r="O14" s="27">
        <f t="shared" si="6"/>
        <v>-606</v>
      </c>
      <c r="P14" s="29">
        <f t="shared" si="7"/>
        <v>-1.0644464351583496</v>
      </c>
    </row>
    <row r="15" spans="2:16" ht="15" thickBot="1">
      <c r="B15" s="9" t="s">
        <v>5</v>
      </c>
      <c r="C15" s="5" t="s">
        <v>19</v>
      </c>
      <c r="D15" s="133">
        <f>D7+D8-D12</f>
        <v>98303</v>
      </c>
      <c r="E15" s="133">
        <f t="shared" ref="E15" si="20">E7+E8-E12</f>
        <v>106137</v>
      </c>
      <c r="F15" s="30">
        <f t="shared" si="0"/>
        <v>7834</v>
      </c>
      <c r="G15" s="28">
        <f t="shared" si="1"/>
        <v>7.9692379683224317</v>
      </c>
      <c r="H15" s="133">
        <f t="shared" ref="H15" si="21">H7+H8-H12</f>
        <v>115125</v>
      </c>
      <c r="I15" s="30">
        <f t="shared" si="2"/>
        <v>8988</v>
      </c>
      <c r="J15" s="28">
        <f t="shared" si="3"/>
        <v>8.4683004041945793</v>
      </c>
      <c r="K15" s="133">
        <f t="shared" ref="K15" si="22">K7+K8-K12</f>
        <v>134964</v>
      </c>
      <c r="L15" s="30">
        <f t="shared" si="4"/>
        <v>19839</v>
      </c>
      <c r="M15" s="28">
        <f t="shared" si="5"/>
        <v>17.23257328990228</v>
      </c>
      <c r="N15" s="133">
        <f t="shared" ref="N15" si="23">N7+N8-N12</f>
        <v>126891</v>
      </c>
      <c r="O15" s="30">
        <f t="shared" si="6"/>
        <v>-8073</v>
      </c>
      <c r="P15" s="29">
        <f t="shared" si="7"/>
        <v>-5.9815950920245404</v>
      </c>
    </row>
    <row r="16" spans="2:16" ht="15" thickBot="1">
      <c r="B16" s="9" t="s">
        <v>20</v>
      </c>
      <c r="C16" s="5" t="s">
        <v>21</v>
      </c>
      <c r="D16" s="133">
        <f>SUM(D17:D20)</f>
        <v>53818.604999999996</v>
      </c>
      <c r="E16" s="133">
        <f>SUM(E17:E20)</f>
        <v>60111.495000000003</v>
      </c>
      <c r="F16" s="27">
        <f t="shared" si="0"/>
        <v>6292.8900000000067</v>
      </c>
      <c r="G16" s="28">
        <f t="shared" si="1"/>
        <v>11.692777990064974</v>
      </c>
      <c r="H16" s="133">
        <f t="shared" ref="H16" si="24">SUM(H17:H20)</f>
        <v>68458.142999999996</v>
      </c>
      <c r="I16" s="27">
        <f t="shared" si="2"/>
        <v>8346.6479999999938</v>
      </c>
      <c r="J16" s="28">
        <f t="shared" si="3"/>
        <v>13.885277682746025</v>
      </c>
      <c r="K16" s="133">
        <f t="shared" ref="K16" si="25">SUM(K17:K20)</f>
        <v>78262.164000000004</v>
      </c>
      <c r="L16" s="27">
        <f t="shared" si="4"/>
        <v>9804.0210000000079</v>
      </c>
      <c r="M16" s="28">
        <f t="shared" si="5"/>
        <v>14.321190395129484</v>
      </c>
      <c r="N16" s="133">
        <f t="shared" ref="N16" si="26">SUM(N17:N20)</f>
        <v>83665.274999999994</v>
      </c>
      <c r="O16" s="27">
        <f t="shared" si="6"/>
        <v>5403.1109999999899</v>
      </c>
      <c r="P16" s="29">
        <f t="shared" si="7"/>
        <v>6.9038609768060963</v>
      </c>
    </row>
    <row r="17" spans="2:16" ht="15" thickBot="1">
      <c r="B17" s="9" t="s">
        <v>9</v>
      </c>
      <c r="C17" s="5" t="s">
        <v>22</v>
      </c>
      <c r="D17" s="132">
        <v>39255</v>
      </c>
      <c r="E17" s="132">
        <v>43845</v>
      </c>
      <c r="F17" s="27">
        <f t="shared" si="0"/>
        <v>4590</v>
      </c>
      <c r="G17" s="28">
        <f t="shared" si="1"/>
        <v>11.692777990064959</v>
      </c>
      <c r="H17" s="132">
        <v>49933</v>
      </c>
      <c r="I17" s="27">
        <f t="shared" si="2"/>
        <v>6088</v>
      </c>
      <c r="J17" s="28">
        <f t="shared" si="3"/>
        <v>13.885277682746036</v>
      </c>
      <c r="K17" s="132">
        <f>56984+100</f>
        <v>57084</v>
      </c>
      <c r="L17" s="27">
        <f t="shared" si="4"/>
        <v>7151</v>
      </c>
      <c r="M17" s="28">
        <f t="shared" si="5"/>
        <v>14.321190395129474</v>
      </c>
      <c r="N17" s="132">
        <v>61025</v>
      </c>
      <c r="O17" s="27">
        <f t="shared" si="6"/>
        <v>3941</v>
      </c>
      <c r="P17" s="29">
        <f t="shared" si="7"/>
        <v>6.9038609768061105</v>
      </c>
    </row>
    <row r="18" spans="2:16" ht="15" thickBot="1">
      <c r="B18" s="9" t="s">
        <v>11</v>
      </c>
      <c r="C18" s="5" t="s">
        <v>23</v>
      </c>
      <c r="D18" s="132">
        <v>0</v>
      </c>
      <c r="E18" s="134">
        <v>0</v>
      </c>
      <c r="F18" s="27">
        <f t="shared" si="0"/>
        <v>0</v>
      </c>
      <c r="G18" s="28" t="s">
        <v>227</v>
      </c>
      <c r="H18" s="134">
        <v>0</v>
      </c>
      <c r="I18" s="27">
        <f t="shared" si="2"/>
        <v>0</v>
      </c>
      <c r="J18" s="28" t="s">
        <v>227</v>
      </c>
      <c r="K18" s="134">
        <v>0</v>
      </c>
      <c r="L18" s="27">
        <f t="shared" si="4"/>
        <v>0</v>
      </c>
      <c r="M18" s="28" t="s">
        <v>227</v>
      </c>
      <c r="N18" s="134">
        <v>0</v>
      </c>
      <c r="O18" s="27">
        <f t="shared" si="6"/>
        <v>0</v>
      </c>
      <c r="P18" s="28" t="s">
        <v>227</v>
      </c>
    </row>
    <row r="19" spans="2:16" ht="15" thickBot="1">
      <c r="B19" s="9" t="s">
        <v>13</v>
      </c>
      <c r="C19" s="5" t="s">
        <v>24</v>
      </c>
      <c r="D19" s="132">
        <f>0.34*D17</f>
        <v>13346.7</v>
      </c>
      <c r="E19" s="132">
        <f t="shared" ref="E19" si="27">0.34*E17</f>
        <v>14907.300000000001</v>
      </c>
      <c r="F19" s="27">
        <f t="shared" si="0"/>
        <v>1560.6000000000004</v>
      </c>
      <c r="G19" s="28">
        <f t="shared" si="1"/>
        <v>11.692777990064961</v>
      </c>
      <c r="H19" s="132">
        <f t="shared" ref="H19" si="28">0.34*H17</f>
        <v>16977.22</v>
      </c>
      <c r="I19" s="27">
        <f t="shared" si="2"/>
        <v>2069.92</v>
      </c>
      <c r="J19" s="28">
        <f>(H19-E19)/ABS(E19)*100</f>
        <v>13.885277682746036</v>
      </c>
      <c r="K19" s="132">
        <f t="shared" ref="K19" si="29">0.34*K17</f>
        <v>19408.560000000001</v>
      </c>
      <c r="L19" s="27">
        <f t="shared" si="4"/>
        <v>2431.34</v>
      </c>
      <c r="M19" s="28">
        <f t="shared" si="5"/>
        <v>14.321190395129474</v>
      </c>
      <c r="N19" s="132">
        <f t="shared" ref="N19" si="30">0.34*N17</f>
        <v>20748.5</v>
      </c>
      <c r="O19" s="27">
        <f t="shared" si="6"/>
        <v>1339.9399999999987</v>
      </c>
      <c r="P19" s="29">
        <f t="shared" si="7"/>
        <v>6.9038609768061034</v>
      </c>
    </row>
    <row r="20" spans="2:16" ht="15" thickBot="1">
      <c r="B20" s="9" t="s">
        <v>25</v>
      </c>
      <c r="C20" s="5" t="s">
        <v>26</v>
      </c>
      <c r="D20" s="132">
        <f>0.031*D17</f>
        <v>1216.905</v>
      </c>
      <c r="E20" s="132">
        <f t="shared" ref="E20" si="31">0.031*E17</f>
        <v>1359.1949999999999</v>
      </c>
      <c r="F20" s="27">
        <f t="shared" si="0"/>
        <v>142.28999999999996</v>
      </c>
      <c r="G20" s="28">
        <f t="shared" si="1"/>
        <v>11.692777990064958</v>
      </c>
      <c r="H20" s="132">
        <f t="shared" ref="H20" si="32">0.031*H17</f>
        <v>1547.923</v>
      </c>
      <c r="I20" s="27">
        <f t="shared" si="2"/>
        <v>188.72800000000007</v>
      </c>
      <c r="J20" s="28">
        <f t="shared" si="3"/>
        <v>13.885277682746041</v>
      </c>
      <c r="K20" s="132">
        <f t="shared" ref="K20" si="33">0.031*K17</f>
        <v>1769.604</v>
      </c>
      <c r="L20" s="27">
        <f t="shared" si="4"/>
        <v>221.68100000000004</v>
      </c>
      <c r="M20" s="28">
        <f t="shared" si="5"/>
        <v>14.321190395129477</v>
      </c>
      <c r="N20" s="132">
        <f t="shared" ref="N20" si="34">0.031*N17</f>
        <v>1891.7750000000001</v>
      </c>
      <c r="O20" s="27">
        <f t="shared" si="6"/>
        <v>122.17100000000005</v>
      </c>
      <c r="P20" s="29">
        <f t="shared" si="7"/>
        <v>6.9038609768061132</v>
      </c>
    </row>
    <row r="21" spans="2:16" ht="15" thickBot="1">
      <c r="B21" s="9" t="s">
        <v>27</v>
      </c>
      <c r="C21" s="5" t="s">
        <v>28</v>
      </c>
      <c r="D21" s="132">
        <v>148</v>
      </c>
      <c r="E21" s="134">
        <v>195</v>
      </c>
      <c r="F21" s="27">
        <f t="shared" si="0"/>
        <v>47</v>
      </c>
      <c r="G21" s="28">
        <f t="shared" si="1"/>
        <v>31.756756756756754</v>
      </c>
      <c r="H21" s="134">
        <v>238</v>
      </c>
      <c r="I21" s="27">
        <f t="shared" si="2"/>
        <v>43</v>
      </c>
      <c r="J21" s="28">
        <f t="shared" si="3"/>
        <v>22.051282051282051</v>
      </c>
      <c r="K21" s="134">
        <v>242</v>
      </c>
      <c r="L21" s="27">
        <f t="shared" si="4"/>
        <v>4</v>
      </c>
      <c r="M21" s="28">
        <f t="shared" si="5"/>
        <v>1.680672268907563</v>
      </c>
      <c r="N21" s="134">
        <v>328</v>
      </c>
      <c r="O21" s="27">
        <f t="shared" si="6"/>
        <v>86</v>
      </c>
      <c r="P21" s="29">
        <f t="shared" si="7"/>
        <v>35.537190082644628</v>
      </c>
    </row>
    <row r="22" spans="2:16" ht="15" thickBot="1">
      <c r="B22" s="9" t="s">
        <v>29</v>
      </c>
      <c r="C22" s="5" t="s">
        <v>30</v>
      </c>
      <c r="D22" s="132">
        <v>9996</v>
      </c>
      <c r="E22" s="132">
        <v>12345</v>
      </c>
      <c r="F22" s="27">
        <f t="shared" si="0"/>
        <v>2349</v>
      </c>
      <c r="G22" s="28">
        <f t="shared" si="1"/>
        <v>23.499399759903959</v>
      </c>
      <c r="H22" s="132">
        <v>17021</v>
      </c>
      <c r="I22" s="27">
        <f t="shared" si="2"/>
        <v>4676</v>
      </c>
      <c r="J22" s="28">
        <f t="shared" si="3"/>
        <v>37.877683272579993</v>
      </c>
      <c r="K22" s="132">
        <v>18145</v>
      </c>
      <c r="L22" s="27">
        <f t="shared" si="4"/>
        <v>1124</v>
      </c>
      <c r="M22" s="28">
        <f t="shared" si="5"/>
        <v>6.6036073086187654</v>
      </c>
      <c r="N22" s="132">
        <v>17121</v>
      </c>
      <c r="O22" s="27">
        <f t="shared" si="6"/>
        <v>-1024</v>
      </c>
      <c r="P22" s="29">
        <f t="shared" si="7"/>
        <v>-5.6434279415817032</v>
      </c>
    </row>
    <row r="23" spans="2:16" ht="15" thickBot="1">
      <c r="B23" s="9" t="s">
        <v>31</v>
      </c>
      <c r="C23" s="5" t="s">
        <v>32</v>
      </c>
      <c r="D23" s="133">
        <f>SUM(D24:D25)</f>
        <v>2759</v>
      </c>
      <c r="E23" s="133">
        <f t="shared" ref="E23" si="35">SUM(E24:E25)</f>
        <v>4263</v>
      </c>
      <c r="F23" s="30">
        <f t="shared" si="0"/>
        <v>1504</v>
      </c>
      <c r="G23" s="28">
        <f t="shared" si="1"/>
        <v>54.512504530627041</v>
      </c>
      <c r="H23" s="133">
        <f t="shared" ref="H23" si="36">SUM(H24:H25)</f>
        <v>1017</v>
      </c>
      <c r="I23" s="30">
        <f t="shared" si="2"/>
        <v>-3246</v>
      </c>
      <c r="J23" s="28">
        <f t="shared" si="3"/>
        <v>-76.143560872624917</v>
      </c>
      <c r="K23" s="133">
        <f t="shared" ref="K23" si="37">SUM(K24:K25)</f>
        <v>6014</v>
      </c>
      <c r="L23" s="30">
        <f t="shared" si="4"/>
        <v>4997</v>
      </c>
      <c r="M23" s="28">
        <f t="shared" si="5"/>
        <v>491.34709931170113</v>
      </c>
      <c r="N23" s="133">
        <f t="shared" ref="N23" si="38">SUM(N24:N25)</f>
        <v>5728</v>
      </c>
      <c r="O23" s="30">
        <f>N23-K23</f>
        <v>-286</v>
      </c>
      <c r="P23" s="29">
        <f t="shared" si="7"/>
        <v>-4.7555703358829398</v>
      </c>
    </row>
    <row r="24" spans="2:16" ht="15" thickBot="1">
      <c r="B24" s="9" t="s">
        <v>9</v>
      </c>
      <c r="C24" s="5" t="s">
        <v>33</v>
      </c>
      <c r="D24" s="132">
        <v>933</v>
      </c>
      <c r="E24" s="134">
        <v>3328</v>
      </c>
      <c r="F24" s="27">
        <f t="shared" si="0"/>
        <v>2395</v>
      </c>
      <c r="G24" s="28">
        <f t="shared" si="1"/>
        <v>256.69882100750272</v>
      </c>
      <c r="H24" s="134">
        <v>295</v>
      </c>
      <c r="I24" s="27">
        <f t="shared" si="2"/>
        <v>-3033</v>
      </c>
      <c r="J24" s="28">
        <f t="shared" si="3"/>
        <v>-91.135817307692307</v>
      </c>
      <c r="K24" s="134">
        <v>5366</v>
      </c>
      <c r="L24" s="27">
        <f t="shared" si="4"/>
        <v>5071</v>
      </c>
      <c r="M24" s="28">
        <f t="shared" si="5"/>
        <v>1718.9830508474574</v>
      </c>
      <c r="N24" s="134">
        <v>4935</v>
      </c>
      <c r="O24" s="27">
        <f t="shared" si="6"/>
        <v>-431</v>
      </c>
      <c r="P24" s="29">
        <f t="shared" si="7"/>
        <v>-8.0320536712635118</v>
      </c>
    </row>
    <row r="25" spans="2:16" ht="15" thickBot="1">
      <c r="B25" s="9" t="s">
        <v>11</v>
      </c>
      <c r="C25" s="5" t="s">
        <v>34</v>
      </c>
      <c r="D25" s="132">
        <v>1826</v>
      </c>
      <c r="E25" s="132">
        <v>935</v>
      </c>
      <c r="F25" s="27">
        <f t="shared" si="0"/>
        <v>-891</v>
      </c>
      <c r="G25" s="28">
        <f t="shared" si="1"/>
        <v>-48.795180722891565</v>
      </c>
      <c r="H25" s="134">
        <v>722</v>
      </c>
      <c r="I25" s="27">
        <f t="shared" si="2"/>
        <v>-213</v>
      </c>
      <c r="J25" s="28">
        <f t="shared" si="3"/>
        <v>-22.780748663101605</v>
      </c>
      <c r="K25" s="132">
        <v>648</v>
      </c>
      <c r="L25" s="27">
        <f>K25-H25</f>
        <v>-74</v>
      </c>
      <c r="M25" s="28">
        <f t="shared" si="5"/>
        <v>-10.249307479224377</v>
      </c>
      <c r="N25" s="134">
        <v>793</v>
      </c>
      <c r="O25" s="27">
        <f t="shared" si="6"/>
        <v>145</v>
      </c>
      <c r="P25" s="29">
        <f t="shared" si="7"/>
        <v>22.376543209876544</v>
      </c>
    </row>
    <row r="26" spans="2:16" ht="15" thickBot="1">
      <c r="B26" s="9" t="s">
        <v>35</v>
      </c>
      <c r="C26" s="5" t="s">
        <v>36</v>
      </c>
      <c r="D26" s="133">
        <f>SUM(D27:D28)</f>
        <v>1712</v>
      </c>
      <c r="E26" s="133">
        <f t="shared" ref="E26" si="39">SUM(E27:E28)</f>
        <v>2758</v>
      </c>
      <c r="F26" s="30">
        <f t="shared" si="0"/>
        <v>1046</v>
      </c>
      <c r="G26" s="28">
        <f t="shared" si="1"/>
        <v>61.098130841121502</v>
      </c>
      <c r="H26" s="133">
        <f t="shared" ref="H26" si="40">SUM(H27:H28)</f>
        <v>561</v>
      </c>
      <c r="I26" s="30">
        <f t="shared" si="2"/>
        <v>-2197</v>
      </c>
      <c r="J26" s="28">
        <f t="shared" si="3"/>
        <v>-79.659173313995652</v>
      </c>
      <c r="K26" s="133">
        <f t="shared" ref="K26" si="41">SUM(K27:K28)</f>
        <v>5358</v>
      </c>
      <c r="L26" s="30">
        <f t="shared" si="4"/>
        <v>4797</v>
      </c>
      <c r="M26" s="28">
        <f t="shared" si="5"/>
        <v>855.08021390374336</v>
      </c>
      <c r="N26" s="133">
        <f t="shared" ref="N26" si="42">SUM(N27:N28)</f>
        <v>3622</v>
      </c>
      <c r="O26" s="30">
        <f t="shared" si="6"/>
        <v>-1736</v>
      </c>
      <c r="P26" s="29">
        <f t="shared" si="7"/>
        <v>-32.400149309443819</v>
      </c>
    </row>
    <row r="27" spans="2:16" ht="15" thickBot="1">
      <c r="B27" s="9" t="s">
        <v>9</v>
      </c>
      <c r="C27" s="5" t="s">
        <v>37</v>
      </c>
      <c r="D27" s="132">
        <v>128</v>
      </c>
      <c r="E27" s="134">
        <v>2133</v>
      </c>
      <c r="F27" s="27">
        <f t="shared" si="0"/>
        <v>2005</v>
      </c>
      <c r="G27" s="28">
        <f t="shared" si="1"/>
        <v>1566.40625</v>
      </c>
      <c r="H27" s="134">
        <v>48</v>
      </c>
      <c r="I27" s="27">
        <f t="shared" si="2"/>
        <v>-2085</v>
      </c>
      <c r="J27" s="28">
        <f t="shared" si="3"/>
        <v>-97.749648382559769</v>
      </c>
      <c r="K27" s="134">
        <v>4935</v>
      </c>
      <c r="L27" s="27">
        <f t="shared" si="4"/>
        <v>4887</v>
      </c>
      <c r="M27" s="28">
        <f t="shared" si="5"/>
        <v>10181.25</v>
      </c>
      <c r="N27" s="134">
        <v>3026</v>
      </c>
      <c r="O27" s="27">
        <f t="shared" si="6"/>
        <v>-1909</v>
      </c>
      <c r="P27" s="29">
        <f t="shared" si="7"/>
        <v>-38.682877406281662</v>
      </c>
    </row>
    <row r="28" spans="2:16" ht="15" thickBot="1">
      <c r="B28" s="9" t="s">
        <v>11</v>
      </c>
      <c r="C28" s="5" t="s">
        <v>38</v>
      </c>
      <c r="D28" s="132">
        <v>1584</v>
      </c>
      <c r="E28" s="132">
        <v>625</v>
      </c>
      <c r="F28" s="27">
        <f t="shared" si="0"/>
        <v>-959</v>
      </c>
      <c r="G28" s="28">
        <f t="shared" si="1"/>
        <v>-60.542929292929294</v>
      </c>
      <c r="H28" s="134">
        <v>513</v>
      </c>
      <c r="I28" s="27">
        <f t="shared" si="2"/>
        <v>-112</v>
      </c>
      <c r="J28" s="28">
        <f t="shared" si="3"/>
        <v>-17.919999999999998</v>
      </c>
      <c r="K28" s="132">
        <v>423</v>
      </c>
      <c r="L28" s="27">
        <f t="shared" si="4"/>
        <v>-90</v>
      </c>
      <c r="M28" s="28">
        <f>(K28-H28)/ABS(H28)*100</f>
        <v>-17.543859649122805</v>
      </c>
      <c r="N28" s="134">
        <v>596</v>
      </c>
      <c r="O28" s="27">
        <f t="shared" si="6"/>
        <v>173</v>
      </c>
      <c r="P28" s="29">
        <f t="shared" si="7"/>
        <v>40.898345153664302</v>
      </c>
    </row>
    <row r="29" spans="2:16" ht="29" thickBot="1">
      <c r="B29" s="9" t="s">
        <v>39</v>
      </c>
      <c r="C29" s="13" t="s">
        <v>40</v>
      </c>
      <c r="D29" s="132">
        <v>-3695</v>
      </c>
      <c r="E29" s="132">
        <v>-1293</v>
      </c>
      <c r="F29" s="27">
        <f>E29-D29</f>
        <v>2402</v>
      </c>
      <c r="G29" s="28">
        <f t="shared" si="1"/>
        <v>65.006765899864689</v>
      </c>
      <c r="H29" s="134">
        <v>-542</v>
      </c>
      <c r="I29" s="27">
        <f t="shared" si="2"/>
        <v>751</v>
      </c>
      <c r="J29" s="28">
        <f>(H29-E29)/ABS(E29)*100</f>
        <v>58.081979891724664</v>
      </c>
      <c r="K29" s="132">
        <v>726</v>
      </c>
      <c r="L29" s="27">
        <f t="shared" si="4"/>
        <v>1268</v>
      </c>
      <c r="M29" s="28">
        <f t="shared" si="5"/>
        <v>233.94833948339482</v>
      </c>
      <c r="N29" s="134">
        <v>-93</v>
      </c>
      <c r="O29" s="27">
        <f t="shared" si="6"/>
        <v>-819</v>
      </c>
      <c r="P29" s="29">
        <f t="shared" si="7"/>
        <v>-112.80991735537189</v>
      </c>
    </row>
    <row r="30" spans="2:16" ht="15" thickBot="1">
      <c r="B30" s="9" t="s">
        <v>41</v>
      </c>
      <c r="C30" s="5" t="s">
        <v>42</v>
      </c>
      <c r="D30" s="132">
        <v>19625</v>
      </c>
      <c r="E30" s="134">
        <v>30942</v>
      </c>
      <c r="F30" s="27">
        <f t="shared" si="0"/>
        <v>11317</v>
      </c>
      <c r="G30" s="28">
        <f t="shared" si="1"/>
        <v>57.666242038216566</v>
      </c>
      <c r="H30" s="134">
        <v>8263</v>
      </c>
      <c r="I30" s="27">
        <f t="shared" si="2"/>
        <v>-22679</v>
      </c>
      <c r="J30" s="28">
        <f t="shared" si="3"/>
        <v>-73.295197466227137</v>
      </c>
      <c r="K30" s="134">
        <v>4155</v>
      </c>
      <c r="L30" s="27">
        <f t="shared" si="4"/>
        <v>-4108</v>
      </c>
      <c r="M30" s="28">
        <f t="shared" si="5"/>
        <v>-49.715599661140018</v>
      </c>
      <c r="N30" s="134">
        <v>1563</v>
      </c>
      <c r="O30" s="27">
        <f t="shared" si="6"/>
        <v>-2592</v>
      </c>
      <c r="P30" s="29">
        <f t="shared" si="7"/>
        <v>-62.382671480144403</v>
      </c>
    </row>
    <row r="31" spans="2:16" ht="15" thickBot="1">
      <c r="B31" s="9" t="s">
        <v>43</v>
      </c>
      <c r="C31" s="5" t="s">
        <v>44</v>
      </c>
      <c r="D31" s="132">
        <v>17845</v>
      </c>
      <c r="E31" s="132">
        <v>30942</v>
      </c>
      <c r="F31" s="27">
        <f t="shared" si="0"/>
        <v>13097</v>
      </c>
      <c r="G31" s="28">
        <f t="shared" si="1"/>
        <v>73.393107312972816</v>
      </c>
      <c r="H31" s="134">
        <v>8963</v>
      </c>
      <c r="I31" s="27">
        <f t="shared" si="2"/>
        <v>-21979</v>
      </c>
      <c r="J31" s="28">
        <f t="shared" si="3"/>
        <v>-71.032900265011961</v>
      </c>
      <c r="K31" s="132">
        <v>3325</v>
      </c>
      <c r="L31" s="27">
        <f t="shared" si="4"/>
        <v>-5638</v>
      </c>
      <c r="M31" s="28">
        <f t="shared" si="5"/>
        <v>-62.903045855182413</v>
      </c>
      <c r="N31" s="134">
        <v>985</v>
      </c>
      <c r="O31" s="27">
        <f t="shared" si="6"/>
        <v>-2340</v>
      </c>
      <c r="P31" s="29">
        <f t="shared" si="7"/>
        <v>-70.375939849624061</v>
      </c>
    </row>
    <row r="32" spans="2:16" ht="15" thickBot="1">
      <c r="B32" s="9" t="s">
        <v>45</v>
      </c>
      <c r="C32" s="5" t="s">
        <v>46</v>
      </c>
      <c r="D32" s="132">
        <v>0</v>
      </c>
      <c r="E32" s="134">
        <v>0</v>
      </c>
      <c r="F32" s="27">
        <f t="shared" si="0"/>
        <v>0</v>
      </c>
      <c r="G32" s="28" t="s">
        <v>227</v>
      </c>
      <c r="H32" s="134">
        <v>0</v>
      </c>
      <c r="I32" s="27">
        <f t="shared" si="2"/>
        <v>0</v>
      </c>
      <c r="J32" s="28" t="s">
        <v>227</v>
      </c>
      <c r="K32" s="134">
        <v>0</v>
      </c>
      <c r="L32" s="27">
        <f t="shared" si="4"/>
        <v>0</v>
      </c>
      <c r="M32" s="28" t="s">
        <v>227</v>
      </c>
      <c r="N32" s="134">
        <v>0</v>
      </c>
      <c r="O32" s="27">
        <f t="shared" si="6"/>
        <v>0</v>
      </c>
      <c r="P32" s="28" t="s">
        <v>227</v>
      </c>
    </row>
    <row r="33" spans="2:16" ht="15" thickBot="1">
      <c r="B33" s="9" t="s">
        <v>1</v>
      </c>
      <c r="C33" s="5" t="s">
        <v>47</v>
      </c>
      <c r="D33" s="132">
        <v>0</v>
      </c>
      <c r="E33" s="134">
        <v>0</v>
      </c>
      <c r="F33" s="27">
        <f t="shared" si="0"/>
        <v>0</v>
      </c>
      <c r="G33" s="28" t="s">
        <v>227</v>
      </c>
      <c r="H33" s="134">
        <v>0</v>
      </c>
      <c r="I33" s="27">
        <f t="shared" si="2"/>
        <v>0</v>
      </c>
      <c r="J33" s="28" t="s">
        <v>227</v>
      </c>
      <c r="K33" s="134">
        <v>0</v>
      </c>
      <c r="L33" s="27">
        <f t="shared" si="4"/>
        <v>0</v>
      </c>
      <c r="M33" s="28" t="s">
        <v>227</v>
      </c>
      <c r="N33" s="134">
        <v>0</v>
      </c>
      <c r="O33" s="27">
        <f t="shared" si="6"/>
        <v>0</v>
      </c>
      <c r="P33" s="28" t="s">
        <v>227</v>
      </c>
    </row>
    <row r="34" spans="2:16" ht="15" thickBot="1">
      <c r="B34" s="9" t="s">
        <v>48</v>
      </c>
      <c r="C34" s="14" t="s">
        <v>49</v>
      </c>
      <c r="D34" s="133">
        <f>D15-D16-D21-D22+D23-D26-D29+D30-D31</f>
        <v>40862.395000000004</v>
      </c>
      <c r="E34" s="133">
        <f>E15-E16-E21-E22+E23-E26-E29+E30-E31</f>
        <v>36283.505000000005</v>
      </c>
      <c r="F34" s="30">
        <f t="shared" si="0"/>
        <v>-4578.8899999999994</v>
      </c>
      <c r="G34" s="28">
        <f t="shared" si="1"/>
        <v>-11.205632954211321</v>
      </c>
      <c r="H34" s="133">
        <f t="shared" ref="H34" si="43">H15-H16-H21-H22+H23-H26-H29+H30-H31</f>
        <v>29705.857000000004</v>
      </c>
      <c r="I34" s="30">
        <f>H34-E34</f>
        <v>-6577.648000000001</v>
      </c>
      <c r="J34" s="28">
        <f t="shared" si="3"/>
        <v>-18.128480145454525</v>
      </c>
      <c r="K34" s="133">
        <f t="shared" ref="K34" si="44">K15-K16-K21-K22+K23-K26-K29+K30-K31</f>
        <v>39074.835999999996</v>
      </c>
      <c r="L34" s="30">
        <f t="shared" si="4"/>
        <v>9368.9789999999921</v>
      </c>
      <c r="M34" s="28">
        <f t="shared" si="5"/>
        <v>31.539164145306398</v>
      </c>
      <c r="N34" s="133">
        <f t="shared" ref="N34" si="45">N15-N16-N21-N22+N23-N26-N29+N30-N31</f>
        <v>28553.725000000006</v>
      </c>
      <c r="O34" s="30">
        <f t="shared" si="6"/>
        <v>-10521.11099999999</v>
      </c>
      <c r="P34" s="29">
        <f t="shared" si="7"/>
        <v>-26.925541031061499</v>
      </c>
    </row>
    <row r="35" spans="2:16" ht="15" thickBot="1">
      <c r="B35" s="9" t="s">
        <v>50</v>
      </c>
      <c r="C35" s="5" t="s">
        <v>51</v>
      </c>
      <c r="D35" s="132">
        <v>0</v>
      </c>
      <c r="E35" s="134">
        <v>0</v>
      </c>
      <c r="F35" s="27">
        <f t="shared" si="0"/>
        <v>0</v>
      </c>
      <c r="G35" s="28" t="s">
        <v>227</v>
      </c>
      <c r="H35" s="134">
        <v>0</v>
      </c>
      <c r="I35" s="27">
        <f t="shared" si="2"/>
        <v>0</v>
      </c>
      <c r="J35" s="28" t="s">
        <v>227</v>
      </c>
      <c r="K35" s="134">
        <v>0</v>
      </c>
      <c r="L35" s="27">
        <f t="shared" si="4"/>
        <v>0</v>
      </c>
      <c r="M35" s="28" t="s">
        <v>227</v>
      </c>
      <c r="N35" s="134">
        <v>0</v>
      </c>
      <c r="O35" s="27">
        <f t="shared" si="6"/>
        <v>0</v>
      </c>
      <c r="P35" s="28" t="s">
        <v>227</v>
      </c>
    </row>
    <row r="36" spans="2:16" ht="15" thickBot="1">
      <c r="B36" s="9" t="s">
        <v>52</v>
      </c>
      <c r="C36" s="5" t="s">
        <v>53</v>
      </c>
      <c r="D36" s="11">
        <v>0</v>
      </c>
      <c r="E36" s="7">
        <v>0</v>
      </c>
      <c r="F36" s="27">
        <f t="shared" si="0"/>
        <v>0</v>
      </c>
      <c r="G36" s="28" t="s">
        <v>227</v>
      </c>
      <c r="H36" s="7">
        <v>0</v>
      </c>
      <c r="I36" s="27">
        <f t="shared" si="2"/>
        <v>0</v>
      </c>
      <c r="J36" s="28" t="s">
        <v>227</v>
      </c>
      <c r="K36" s="7">
        <v>0</v>
      </c>
      <c r="L36" s="27">
        <f t="shared" si="4"/>
        <v>0</v>
      </c>
      <c r="M36" s="28" t="s">
        <v>227</v>
      </c>
      <c r="N36" s="7">
        <v>0</v>
      </c>
      <c r="O36" s="27">
        <f t="shared" si="6"/>
        <v>0</v>
      </c>
      <c r="P36" s="28" t="s">
        <v>227</v>
      </c>
    </row>
    <row r="37" spans="2:16" ht="15" thickBot="1">
      <c r="B37" s="9" t="s">
        <v>54</v>
      </c>
      <c r="C37" s="5" t="s">
        <v>55</v>
      </c>
      <c r="D37" s="12">
        <f>SUM(D38:D40)</f>
        <v>0</v>
      </c>
      <c r="E37" s="12">
        <f t="shared" ref="E37" si="46">SUM(E38:E40)</f>
        <v>0</v>
      </c>
      <c r="F37" s="30">
        <f t="shared" si="0"/>
        <v>0</v>
      </c>
      <c r="G37" s="28" t="s">
        <v>227</v>
      </c>
      <c r="H37" s="12">
        <f t="shared" ref="H37" si="47">SUM(H38:H40)</f>
        <v>0</v>
      </c>
      <c r="I37" s="30">
        <f t="shared" si="2"/>
        <v>0</v>
      </c>
      <c r="J37" s="28" t="s">
        <v>227</v>
      </c>
      <c r="K37" s="12">
        <f t="shared" ref="K37" si="48">SUM(K38:K40)</f>
        <v>0</v>
      </c>
      <c r="L37" s="30">
        <f t="shared" si="4"/>
        <v>0</v>
      </c>
      <c r="M37" s="28" t="s">
        <v>227</v>
      </c>
      <c r="N37" s="12">
        <f t="shared" ref="N37" si="49">SUM(N38:N40)</f>
        <v>0</v>
      </c>
      <c r="O37" s="30">
        <f t="shared" si="6"/>
        <v>0</v>
      </c>
      <c r="P37" s="28" t="s">
        <v>227</v>
      </c>
    </row>
    <row r="38" spans="2:16" ht="29" thickBot="1">
      <c r="B38" s="9" t="s">
        <v>9</v>
      </c>
      <c r="C38" s="13" t="s">
        <v>56</v>
      </c>
      <c r="D38" s="11">
        <v>0</v>
      </c>
      <c r="E38" s="7">
        <v>0</v>
      </c>
      <c r="F38" s="27">
        <f t="shared" si="0"/>
        <v>0</v>
      </c>
      <c r="G38" s="28" t="s">
        <v>227</v>
      </c>
      <c r="H38" s="7">
        <v>0</v>
      </c>
      <c r="I38" s="27">
        <f t="shared" si="2"/>
        <v>0</v>
      </c>
      <c r="J38" s="28" t="s">
        <v>227</v>
      </c>
      <c r="K38" s="7">
        <v>0</v>
      </c>
      <c r="L38" s="27">
        <f t="shared" si="4"/>
        <v>0</v>
      </c>
      <c r="M38" s="28" t="s">
        <v>227</v>
      </c>
      <c r="N38" s="7">
        <v>0</v>
      </c>
      <c r="O38" s="27">
        <f>N38-K38</f>
        <v>0</v>
      </c>
      <c r="P38" s="28" t="s">
        <v>227</v>
      </c>
    </row>
    <row r="39" spans="2:16" ht="15" thickBot="1">
      <c r="B39" s="9" t="s">
        <v>11</v>
      </c>
      <c r="C39" s="5" t="s">
        <v>57</v>
      </c>
      <c r="D39" s="11">
        <v>0</v>
      </c>
      <c r="E39" s="7">
        <v>0</v>
      </c>
      <c r="F39" s="27">
        <f t="shared" si="0"/>
        <v>0</v>
      </c>
      <c r="G39" s="28" t="s">
        <v>227</v>
      </c>
      <c r="H39" s="7">
        <v>0</v>
      </c>
      <c r="I39" s="27">
        <f t="shared" si="2"/>
        <v>0</v>
      </c>
      <c r="J39" s="28" t="s">
        <v>227</v>
      </c>
      <c r="K39" s="7">
        <v>0</v>
      </c>
      <c r="L39" s="27">
        <f t="shared" si="4"/>
        <v>0</v>
      </c>
      <c r="M39" s="28" t="s">
        <v>227</v>
      </c>
      <c r="N39" s="7">
        <v>0</v>
      </c>
      <c r="O39" s="27">
        <f t="shared" si="6"/>
        <v>0</v>
      </c>
      <c r="P39" s="28" t="s">
        <v>227</v>
      </c>
    </row>
    <row r="40" spans="2:16" ht="15" thickBot="1">
      <c r="B40" s="9" t="s">
        <v>13</v>
      </c>
      <c r="C40" s="5" t="s">
        <v>58</v>
      </c>
      <c r="D40" s="11">
        <v>0</v>
      </c>
      <c r="E40" s="7">
        <v>0</v>
      </c>
      <c r="F40" s="27">
        <f t="shared" si="0"/>
        <v>0</v>
      </c>
      <c r="G40" s="28" t="s">
        <v>227</v>
      </c>
      <c r="H40" s="7">
        <v>0</v>
      </c>
      <c r="I40" s="27">
        <f t="shared" si="2"/>
        <v>0</v>
      </c>
      <c r="J40" s="28" t="s">
        <v>227</v>
      </c>
      <c r="K40" s="7">
        <v>0</v>
      </c>
      <c r="L40" s="27">
        <f t="shared" si="4"/>
        <v>0</v>
      </c>
      <c r="M40" s="28" t="s">
        <v>227</v>
      </c>
      <c r="N40" s="7">
        <v>0</v>
      </c>
      <c r="O40" s="27">
        <f t="shared" si="6"/>
        <v>0</v>
      </c>
      <c r="P40" s="28" t="s">
        <v>227</v>
      </c>
    </row>
    <row r="41" spans="2:16" ht="15" thickBot="1">
      <c r="B41" s="9" t="s">
        <v>59</v>
      </c>
      <c r="C41" s="5" t="s">
        <v>60</v>
      </c>
      <c r="D41" s="11">
        <v>0</v>
      </c>
      <c r="E41" s="7">
        <v>0</v>
      </c>
      <c r="F41" s="27">
        <f t="shared" si="0"/>
        <v>0</v>
      </c>
      <c r="G41" s="28" t="s">
        <v>227</v>
      </c>
      <c r="H41" s="7">
        <v>0</v>
      </c>
      <c r="I41" s="27">
        <f t="shared" si="2"/>
        <v>0</v>
      </c>
      <c r="J41" s="28" t="s">
        <v>227</v>
      </c>
      <c r="K41" s="7">
        <v>0</v>
      </c>
      <c r="L41" s="27">
        <f t="shared" si="4"/>
        <v>0</v>
      </c>
      <c r="M41" s="28" t="s">
        <v>227</v>
      </c>
      <c r="N41" s="7">
        <v>0</v>
      </c>
      <c r="O41" s="27">
        <f t="shared" si="6"/>
        <v>0</v>
      </c>
      <c r="P41" s="28" t="s">
        <v>227</v>
      </c>
    </row>
    <row r="42" spans="2:16" ht="15" thickBot="1">
      <c r="B42" s="9" t="s">
        <v>61</v>
      </c>
      <c r="C42" s="5" t="s">
        <v>62</v>
      </c>
      <c r="D42" s="11">
        <v>0</v>
      </c>
      <c r="E42" s="7">
        <v>0</v>
      </c>
      <c r="F42" s="27">
        <f t="shared" si="0"/>
        <v>0</v>
      </c>
      <c r="G42" s="28" t="s">
        <v>227</v>
      </c>
      <c r="H42" s="7">
        <v>0</v>
      </c>
      <c r="I42" s="27">
        <f t="shared" si="2"/>
        <v>0</v>
      </c>
      <c r="J42" s="28" t="s">
        <v>227</v>
      </c>
      <c r="K42" s="7">
        <v>0</v>
      </c>
      <c r="L42" s="27">
        <f t="shared" si="4"/>
        <v>0</v>
      </c>
      <c r="M42" s="28" t="s">
        <v>227</v>
      </c>
      <c r="N42" s="7">
        <v>0</v>
      </c>
      <c r="O42" s="27">
        <f t="shared" si="6"/>
        <v>0</v>
      </c>
      <c r="P42" s="28" t="s">
        <v>227</v>
      </c>
    </row>
    <row r="43" spans="2:16" ht="15" thickBot="1">
      <c r="B43" s="9" t="s">
        <v>63</v>
      </c>
      <c r="C43" s="5" t="s">
        <v>64</v>
      </c>
      <c r="D43" s="11">
        <v>0</v>
      </c>
      <c r="E43" s="7">
        <v>0</v>
      </c>
      <c r="F43" s="27">
        <f t="shared" si="0"/>
        <v>0</v>
      </c>
      <c r="G43" s="28" t="s">
        <v>227</v>
      </c>
      <c r="H43" s="7">
        <v>0</v>
      </c>
      <c r="I43" s="27">
        <f t="shared" si="2"/>
        <v>0</v>
      </c>
      <c r="J43" s="28" t="s">
        <v>227</v>
      </c>
      <c r="K43" s="7">
        <v>0</v>
      </c>
      <c r="L43" s="27">
        <f>K43-H43</f>
        <v>0</v>
      </c>
      <c r="M43" s="28" t="s">
        <v>227</v>
      </c>
      <c r="N43" s="7">
        <v>0</v>
      </c>
      <c r="O43" s="27">
        <f t="shared" si="6"/>
        <v>0</v>
      </c>
      <c r="P43" s="28" t="s">
        <v>227</v>
      </c>
    </row>
    <row r="44" spans="2:16" ht="15" thickBot="1">
      <c r="B44" s="9" t="s">
        <v>65</v>
      </c>
      <c r="C44" s="5" t="s">
        <v>66</v>
      </c>
      <c r="D44" s="7">
        <v>0</v>
      </c>
      <c r="E44" s="7">
        <v>0</v>
      </c>
      <c r="F44" s="27">
        <f>E44-D44</f>
        <v>0</v>
      </c>
      <c r="G44" s="28" t="s">
        <v>227</v>
      </c>
      <c r="H44" s="7">
        <v>0</v>
      </c>
      <c r="I44" s="27">
        <f t="shared" si="2"/>
        <v>0</v>
      </c>
      <c r="J44" s="28" t="s">
        <v>227</v>
      </c>
      <c r="K44" s="7">
        <v>0</v>
      </c>
      <c r="L44" s="27">
        <f t="shared" si="4"/>
        <v>0</v>
      </c>
      <c r="M44" s="28" t="s">
        <v>227</v>
      </c>
      <c r="N44" s="7">
        <v>0</v>
      </c>
      <c r="O44" s="27">
        <f t="shared" si="6"/>
        <v>0</v>
      </c>
      <c r="P44" s="28" t="s">
        <v>227</v>
      </c>
    </row>
    <row r="45" spans="2:16" ht="15" thickBot="1">
      <c r="B45" s="9" t="s">
        <v>67</v>
      </c>
      <c r="C45" s="5" t="s">
        <v>68</v>
      </c>
      <c r="D45" s="7">
        <v>0</v>
      </c>
      <c r="E45" s="7">
        <v>0</v>
      </c>
      <c r="F45" s="27">
        <f t="shared" si="0"/>
        <v>0</v>
      </c>
      <c r="G45" s="28" t="s">
        <v>227</v>
      </c>
      <c r="H45" s="7">
        <v>0</v>
      </c>
      <c r="I45" s="27">
        <f t="shared" si="2"/>
        <v>0</v>
      </c>
      <c r="J45" s="28" t="s">
        <v>227</v>
      </c>
      <c r="K45" s="7">
        <v>0</v>
      </c>
      <c r="L45" s="27">
        <f t="shared" si="4"/>
        <v>0</v>
      </c>
      <c r="M45" s="28" t="s">
        <v>227</v>
      </c>
      <c r="N45" s="7">
        <v>0</v>
      </c>
      <c r="O45" s="27">
        <f t="shared" si="6"/>
        <v>0</v>
      </c>
      <c r="P45" s="28" t="s">
        <v>227</v>
      </c>
    </row>
    <row r="46" spans="2:16" ht="15" thickBot="1">
      <c r="B46" s="9" t="s">
        <v>69</v>
      </c>
      <c r="C46" s="5" t="s">
        <v>70</v>
      </c>
      <c r="D46" s="7">
        <v>45</v>
      </c>
      <c r="E46" s="7">
        <v>33</v>
      </c>
      <c r="F46" s="27">
        <f t="shared" si="0"/>
        <v>-12</v>
      </c>
      <c r="G46" s="28">
        <f t="shared" si="1"/>
        <v>-26.666666666666668</v>
      </c>
      <c r="H46" s="7">
        <v>22</v>
      </c>
      <c r="I46" s="27">
        <f t="shared" si="2"/>
        <v>-11</v>
      </c>
      <c r="J46" s="28">
        <f t="shared" si="3"/>
        <v>-33.333333333333329</v>
      </c>
      <c r="K46" s="7">
        <v>18</v>
      </c>
      <c r="L46" s="27">
        <f t="shared" si="4"/>
        <v>-4</v>
      </c>
      <c r="M46" s="28">
        <f t="shared" si="5"/>
        <v>-18.181818181818183</v>
      </c>
      <c r="N46" s="7">
        <v>8</v>
      </c>
      <c r="O46" s="27">
        <f t="shared" si="6"/>
        <v>-10</v>
      </c>
      <c r="P46" s="29">
        <f t="shared" si="7"/>
        <v>-55.555555555555557</v>
      </c>
    </row>
    <row r="47" spans="2:16" ht="15" thickBot="1">
      <c r="B47" s="9" t="s">
        <v>71</v>
      </c>
      <c r="C47" s="5" t="s">
        <v>72</v>
      </c>
      <c r="D47" s="7">
        <v>1933</v>
      </c>
      <c r="E47" s="7">
        <v>1302</v>
      </c>
      <c r="F47" s="27">
        <f t="shared" si="0"/>
        <v>-631</v>
      </c>
      <c r="G47" s="28">
        <f t="shared" si="1"/>
        <v>-32.643559234350747</v>
      </c>
      <c r="H47" s="7">
        <v>1495</v>
      </c>
      <c r="I47" s="27">
        <f t="shared" si="2"/>
        <v>193</v>
      </c>
      <c r="J47" s="28">
        <f t="shared" si="3"/>
        <v>14.823348694316435</v>
      </c>
      <c r="K47" s="7">
        <v>1021</v>
      </c>
      <c r="L47" s="27">
        <f t="shared" si="4"/>
        <v>-474</v>
      </c>
      <c r="M47" s="28">
        <f t="shared" si="5"/>
        <v>-31.705685618729095</v>
      </c>
      <c r="N47" s="7">
        <v>1222</v>
      </c>
      <c r="O47" s="27">
        <f t="shared" si="6"/>
        <v>201</v>
      </c>
      <c r="P47" s="29">
        <f t="shared" si="7"/>
        <v>19.686581782566112</v>
      </c>
    </row>
    <row r="48" spans="2:16" ht="15" thickBot="1">
      <c r="B48" s="9" t="s">
        <v>73</v>
      </c>
      <c r="C48" s="5" t="s">
        <v>74</v>
      </c>
      <c r="D48" s="7">
        <v>593</v>
      </c>
      <c r="E48" s="7">
        <v>426</v>
      </c>
      <c r="F48" s="27">
        <f t="shared" si="0"/>
        <v>-167</v>
      </c>
      <c r="G48" s="28">
        <f t="shared" si="1"/>
        <v>-28.161888701517707</v>
      </c>
      <c r="H48" s="7">
        <v>573</v>
      </c>
      <c r="I48" s="27">
        <f t="shared" si="2"/>
        <v>147</v>
      </c>
      <c r="J48" s="28">
        <f t="shared" si="3"/>
        <v>34.507042253521128</v>
      </c>
      <c r="K48" s="7">
        <v>528</v>
      </c>
      <c r="L48" s="27">
        <f t="shared" si="4"/>
        <v>-45</v>
      </c>
      <c r="M48" s="28">
        <f t="shared" si="5"/>
        <v>-7.8534031413612562</v>
      </c>
      <c r="N48" s="7">
        <v>321</v>
      </c>
      <c r="O48" s="27">
        <f t="shared" si="6"/>
        <v>-207</v>
      </c>
      <c r="P48" s="29">
        <f t="shared" si="7"/>
        <v>-39.204545454545453</v>
      </c>
    </row>
    <row r="49" spans="2:16" ht="15" thickBot="1">
      <c r="B49" s="9" t="s">
        <v>75</v>
      </c>
      <c r="C49" s="5" t="s">
        <v>76</v>
      </c>
      <c r="D49" s="7">
        <v>2133</v>
      </c>
      <c r="E49" s="7">
        <v>2126</v>
      </c>
      <c r="F49" s="27">
        <f t="shared" si="0"/>
        <v>-7</v>
      </c>
      <c r="G49" s="28">
        <f t="shared" si="1"/>
        <v>-0.32817627754336615</v>
      </c>
      <c r="H49" s="7">
        <v>3128</v>
      </c>
      <c r="I49" s="27">
        <f t="shared" si="2"/>
        <v>1002</v>
      </c>
      <c r="J49" s="28">
        <f>(H49-E49)/ABS(E49)*100</f>
        <v>47.130761994355595</v>
      </c>
      <c r="K49" s="7">
        <v>2833</v>
      </c>
      <c r="L49" s="27">
        <f t="shared" si="4"/>
        <v>-295</v>
      </c>
      <c r="M49" s="28">
        <f t="shared" si="5"/>
        <v>-9.4309462915601028</v>
      </c>
      <c r="N49" s="7">
        <v>2921</v>
      </c>
      <c r="O49" s="27">
        <f t="shared" si="6"/>
        <v>88</v>
      </c>
      <c r="P49" s="29">
        <f t="shared" si="7"/>
        <v>3.1062477938581008</v>
      </c>
    </row>
    <row r="50" spans="2:16" ht="15" thickBot="1">
      <c r="B50" s="9" t="s">
        <v>77</v>
      </c>
      <c r="C50" s="5" t="s">
        <v>78</v>
      </c>
      <c r="D50" s="7">
        <v>0</v>
      </c>
      <c r="E50" s="7">
        <v>0</v>
      </c>
      <c r="F50" s="27">
        <f t="shared" si="0"/>
        <v>0</v>
      </c>
      <c r="G50" s="28" t="s">
        <v>227</v>
      </c>
      <c r="H50" s="7">
        <v>0</v>
      </c>
      <c r="I50" s="27">
        <f t="shared" si="2"/>
        <v>0</v>
      </c>
      <c r="J50" s="28" t="s">
        <v>227</v>
      </c>
      <c r="K50" s="7">
        <v>0</v>
      </c>
      <c r="L50" s="27">
        <f t="shared" si="4"/>
        <v>0</v>
      </c>
      <c r="M50" s="28" t="s">
        <v>227</v>
      </c>
      <c r="N50" s="7">
        <v>0</v>
      </c>
      <c r="O50" s="27">
        <f t="shared" si="6"/>
        <v>0</v>
      </c>
      <c r="P50" s="28" t="s">
        <v>227</v>
      </c>
    </row>
    <row r="51" spans="2:16" ht="15" thickBot="1">
      <c r="B51" s="9" t="s">
        <v>79</v>
      </c>
      <c r="C51" s="5" t="s">
        <v>80</v>
      </c>
      <c r="D51" s="7">
        <v>0</v>
      </c>
      <c r="E51" s="7">
        <v>0</v>
      </c>
      <c r="F51" s="27">
        <f t="shared" si="0"/>
        <v>0</v>
      </c>
      <c r="G51" s="28" t="s">
        <v>227</v>
      </c>
      <c r="H51" s="7">
        <v>0</v>
      </c>
      <c r="I51" s="27">
        <f t="shared" si="2"/>
        <v>0</v>
      </c>
      <c r="J51" s="28" t="s">
        <v>227</v>
      </c>
      <c r="K51" s="7">
        <v>0</v>
      </c>
      <c r="L51" s="27">
        <f t="shared" si="4"/>
        <v>0</v>
      </c>
      <c r="M51" s="28" t="s">
        <v>227</v>
      </c>
      <c r="N51" s="7">
        <v>0</v>
      </c>
      <c r="O51" s="27">
        <f>N51-K51</f>
        <v>0</v>
      </c>
      <c r="P51" s="28" t="s">
        <v>227</v>
      </c>
    </row>
    <row r="52" spans="2:16" ht="15" thickBot="1">
      <c r="B52" s="9" t="s">
        <v>48</v>
      </c>
      <c r="C52" s="14" t="s">
        <v>81</v>
      </c>
      <c r="D52" s="12">
        <f>D35+D37+D41+D43-D45+D46+D48+D50-D36-D42-D44-D47-D49-D51</f>
        <v>-3428</v>
      </c>
      <c r="E52" s="12">
        <f t="shared" ref="E52" si="50">E35+E37+E41+E43-E45+E46+E48+E50-E36-E42-E44-E47-E49-E51</f>
        <v>-2969</v>
      </c>
      <c r="F52" s="30">
        <f t="shared" si="0"/>
        <v>459</v>
      </c>
      <c r="G52" s="28">
        <f t="shared" si="1"/>
        <v>13.38973162193699</v>
      </c>
      <c r="H52" s="12">
        <f t="shared" ref="H52" si="51">H35+H37+H41+H43-H45+H46+H48+H50-H36-H42-H44-H47-H49-H51</f>
        <v>-4028</v>
      </c>
      <c r="I52" s="30">
        <f t="shared" si="2"/>
        <v>-1059</v>
      </c>
      <c r="J52" s="28">
        <f t="shared" si="3"/>
        <v>-35.668575277871341</v>
      </c>
      <c r="K52" s="12">
        <f t="shared" ref="K52" si="52">K35+K37+K41+K43-K45+K46+K48+K50-K36-K42-K44-K47-K49-K51</f>
        <v>-3308</v>
      </c>
      <c r="L52" s="30">
        <f t="shared" si="4"/>
        <v>720</v>
      </c>
      <c r="M52" s="28">
        <f t="shared" si="5"/>
        <v>17.874875868917577</v>
      </c>
      <c r="N52" s="12">
        <f t="shared" ref="N52" si="53">N35+N37+N41+N43-N45+N46+N48+N50-N36-N42-N44-N47-N49-N51</f>
        <v>-3814</v>
      </c>
      <c r="O52" s="30">
        <f t="shared" si="6"/>
        <v>-506</v>
      </c>
      <c r="P52" s="29">
        <f t="shared" si="7"/>
        <v>-15.296251511487306</v>
      </c>
    </row>
    <row r="53" spans="2:16" ht="15" thickBot="1">
      <c r="B53" s="9" t="s">
        <v>82</v>
      </c>
      <c r="C53" s="5" t="s">
        <v>83</v>
      </c>
      <c r="D53" s="8">
        <f>SUM(D54:D55)</f>
        <v>10728</v>
      </c>
      <c r="E53" s="8">
        <f t="shared" ref="E53" si="54">SUM(E54:E55)</f>
        <v>8614</v>
      </c>
      <c r="F53" s="30">
        <f t="shared" si="0"/>
        <v>-2114</v>
      </c>
      <c r="G53" s="28">
        <f t="shared" si="1"/>
        <v>-19.705443698732289</v>
      </c>
      <c r="H53" s="8">
        <f t="shared" ref="H53" si="55">SUM(H54:H55)</f>
        <v>5346</v>
      </c>
      <c r="I53" s="30">
        <f t="shared" si="2"/>
        <v>-3268</v>
      </c>
      <c r="J53" s="28">
        <f t="shared" si="3"/>
        <v>-37.938240074297653</v>
      </c>
      <c r="K53" s="8">
        <f t="shared" ref="K53" si="56">SUM(K54:K55)</f>
        <v>8723</v>
      </c>
      <c r="L53" s="30">
        <f t="shared" si="4"/>
        <v>3377</v>
      </c>
      <c r="M53" s="28">
        <f t="shared" si="5"/>
        <v>63.168724279835388</v>
      </c>
      <c r="N53" s="8">
        <f t="shared" ref="N53" si="57">SUM(N54:N55)</f>
        <v>5256</v>
      </c>
      <c r="O53" s="30">
        <f t="shared" si="6"/>
        <v>-3467</v>
      </c>
      <c r="P53" s="29">
        <f t="shared" si="7"/>
        <v>-39.745500401238104</v>
      </c>
    </row>
    <row r="54" spans="2:16" ht="15" thickBot="1">
      <c r="B54" s="9" t="s">
        <v>9</v>
      </c>
      <c r="C54" s="5" t="s">
        <v>84</v>
      </c>
      <c r="D54" s="7">
        <v>9807</v>
      </c>
      <c r="E54" s="7">
        <v>7421</v>
      </c>
      <c r="F54" s="27">
        <f t="shared" si="0"/>
        <v>-2386</v>
      </c>
      <c r="G54" s="28">
        <f t="shared" si="1"/>
        <v>-24.329560517997347</v>
      </c>
      <c r="H54" s="7">
        <v>4825</v>
      </c>
      <c r="I54" s="27">
        <f t="shared" si="2"/>
        <v>-2596</v>
      </c>
      <c r="J54" s="28">
        <f t="shared" si="3"/>
        <v>-34.981808381619729</v>
      </c>
      <c r="K54" s="7">
        <v>7933</v>
      </c>
      <c r="L54" s="27">
        <f t="shared" si="4"/>
        <v>3108</v>
      </c>
      <c r="M54" s="28">
        <f>(K54-H54)/ABS(H54)*100</f>
        <v>64.414507772020727</v>
      </c>
      <c r="N54" s="7">
        <v>4421</v>
      </c>
      <c r="O54" s="27">
        <f t="shared" si="6"/>
        <v>-3512</v>
      </c>
      <c r="P54" s="29">
        <f t="shared" si="7"/>
        <v>-44.270767679314254</v>
      </c>
    </row>
    <row r="55" spans="2:16" ht="15" thickBot="1">
      <c r="B55" s="9" t="s">
        <v>11</v>
      </c>
      <c r="C55" s="5" t="s">
        <v>85</v>
      </c>
      <c r="D55" s="7">
        <v>921</v>
      </c>
      <c r="E55" s="7">
        <v>1193</v>
      </c>
      <c r="F55" s="27">
        <f t="shared" si="0"/>
        <v>272</v>
      </c>
      <c r="G55" s="28">
        <f t="shared" si="1"/>
        <v>29.533116178067321</v>
      </c>
      <c r="H55" s="7">
        <v>521</v>
      </c>
      <c r="I55" s="27">
        <f t="shared" si="2"/>
        <v>-672</v>
      </c>
      <c r="J55" s="28">
        <f t="shared" si="3"/>
        <v>-56.328583403185249</v>
      </c>
      <c r="K55" s="7">
        <v>790</v>
      </c>
      <c r="L55" s="27">
        <f t="shared" si="4"/>
        <v>269</v>
      </c>
      <c r="M55" s="28">
        <f t="shared" si="5"/>
        <v>51.631477927063344</v>
      </c>
      <c r="N55" s="7">
        <v>835</v>
      </c>
      <c r="O55" s="27">
        <f t="shared" si="6"/>
        <v>45</v>
      </c>
      <c r="P55" s="29">
        <f t="shared" si="7"/>
        <v>5.6962025316455698</v>
      </c>
    </row>
    <row r="56" spans="2:16" ht="15" thickBot="1">
      <c r="B56" s="9" t="s">
        <v>86</v>
      </c>
      <c r="C56" s="6" t="s">
        <v>87</v>
      </c>
      <c r="D56" s="12">
        <f>D34+D52-D53</f>
        <v>26706.395000000004</v>
      </c>
      <c r="E56" s="12">
        <f t="shared" ref="E56" si="58">E34+E52-E53</f>
        <v>24700.505000000005</v>
      </c>
      <c r="F56" s="30">
        <f t="shared" si="0"/>
        <v>-2005.8899999999994</v>
      </c>
      <c r="G56" s="28">
        <f t="shared" si="1"/>
        <v>-7.5108976707638719</v>
      </c>
      <c r="H56" s="12">
        <f t="shared" ref="H56" si="59">H34+H52-H53</f>
        <v>20331.857000000004</v>
      </c>
      <c r="I56" s="30">
        <f t="shared" si="2"/>
        <v>-4368.648000000001</v>
      </c>
      <c r="J56" s="28">
        <f t="shared" si="3"/>
        <v>-17.686472402082469</v>
      </c>
      <c r="K56" s="12">
        <f t="shared" ref="K56" si="60">K34+K52-K53</f>
        <v>27043.835999999996</v>
      </c>
      <c r="L56" s="30">
        <f>K56-H56</f>
        <v>6711.9789999999921</v>
      </c>
      <c r="M56" s="28">
        <f t="shared" si="5"/>
        <v>33.012129683973242</v>
      </c>
      <c r="N56" s="12">
        <f t="shared" ref="N56" si="61">N34+N52-N53</f>
        <v>19483.725000000006</v>
      </c>
      <c r="O56" s="30">
        <f t="shared" si="6"/>
        <v>-7560.1109999999899</v>
      </c>
      <c r="P56" s="29">
        <f t="shared" si="7"/>
        <v>-27.955024575655578</v>
      </c>
    </row>
    <row r="57" spans="2:16" ht="15" thickBot="1">
      <c r="B57" s="9" t="s">
        <v>88</v>
      </c>
      <c r="C57" s="5" t="s">
        <v>89</v>
      </c>
      <c r="D57" s="7">
        <v>0</v>
      </c>
      <c r="E57" s="7">
        <v>0</v>
      </c>
      <c r="F57" s="27">
        <f t="shared" si="0"/>
        <v>0</v>
      </c>
      <c r="G57" s="28" t="s">
        <v>227</v>
      </c>
      <c r="H57" s="7">
        <v>0</v>
      </c>
      <c r="I57" s="27">
        <f t="shared" si="2"/>
        <v>0</v>
      </c>
      <c r="J57" s="28" t="s">
        <v>227</v>
      </c>
      <c r="K57" s="7">
        <v>0</v>
      </c>
      <c r="L57" s="27">
        <f t="shared" si="4"/>
        <v>0</v>
      </c>
      <c r="M57" s="28" t="s">
        <v>227</v>
      </c>
      <c r="N57" s="7">
        <v>0</v>
      </c>
      <c r="O57" s="27">
        <f t="shared" si="6"/>
        <v>0</v>
      </c>
      <c r="P57" s="28" t="s">
        <v>227</v>
      </c>
    </row>
    <row r="58" spans="2:16" ht="15" thickBot="1">
      <c r="B58" s="9" t="s">
        <v>90</v>
      </c>
      <c r="C58" s="5" t="s">
        <v>91</v>
      </c>
      <c r="D58" s="7">
        <v>0</v>
      </c>
      <c r="E58" s="7">
        <v>0</v>
      </c>
      <c r="F58" s="27">
        <f t="shared" si="0"/>
        <v>0</v>
      </c>
      <c r="G58" s="28" t="s">
        <v>227</v>
      </c>
      <c r="H58" s="7">
        <v>0</v>
      </c>
      <c r="I58" s="27">
        <f t="shared" si="2"/>
        <v>0</v>
      </c>
      <c r="J58" s="28" t="s">
        <v>227</v>
      </c>
      <c r="K58" s="7">
        <v>0</v>
      </c>
      <c r="L58" s="27">
        <f t="shared" si="4"/>
        <v>0</v>
      </c>
      <c r="M58" s="28" t="s">
        <v>227</v>
      </c>
      <c r="N58" s="7">
        <v>0</v>
      </c>
      <c r="O58" s="27">
        <f t="shared" si="6"/>
        <v>0</v>
      </c>
      <c r="P58" s="28" t="s">
        <v>227</v>
      </c>
    </row>
    <row r="59" spans="2:16" ht="15" thickBot="1">
      <c r="B59" s="9" t="s">
        <v>92</v>
      </c>
      <c r="C59" s="5" t="s">
        <v>93</v>
      </c>
      <c r="D59" s="8">
        <v>0</v>
      </c>
      <c r="E59" s="8">
        <v>0</v>
      </c>
      <c r="F59" s="27">
        <f t="shared" si="0"/>
        <v>0</v>
      </c>
      <c r="G59" s="28" t="s">
        <v>227</v>
      </c>
      <c r="H59" s="8">
        <v>0</v>
      </c>
      <c r="I59" s="27">
        <f t="shared" si="2"/>
        <v>0</v>
      </c>
      <c r="J59" s="28" t="s">
        <v>227</v>
      </c>
      <c r="K59" s="8">
        <v>0</v>
      </c>
      <c r="L59" s="27">
        <f t="shared" si="4"/>
        <v>0</v>
      </c>
      <c r="M59" s="28" t="s">
        <v>227</v>
      </c>
      <c r="N59" s="8">
        <v>0</v>
      </c>
      <c r="O59" s="27">
        <f t="shared" si="6"/>
        <v>0</v>
      </c>
      <c r="P59" s="28" t="s">
        <v>227</v>
      </c>
    </row>
    <row r="60" spans="2:16" ht="15" thickBot="1">
      <c r="B60" s="9" t="s">
        <v>9</v>
      </c>
      <c r="C60" s="5" t="s">
        <v>84</v>
      </c>
      <c r="D60" s="7">
        <v>0</v>
      </c>
      <c r="E60" s="7">
        <v>0</v>
      </c>
      <c r="F60" s="27">
        <f t="shared" si="0"/>
        <v>0</v>
      </c>
      <c r="G60" s="28" t="s">
        <v>227</v>
      </c>
      <c r="H60" s="7">
        <v>0</v>
      </c>
      <c r="I60" s="27">
        <f t="shared" si="2"/>
        <v>0</v>
      </c>
      <c r="J60" s="28" t="s">
        <v>227</v>
      </c>
      <c r="K60" s="7">
        <v>0</v>
      </c>
      <c r="L60" s="27">
        <f t="shared" si="4"/>
        <v>0</v>
      </c>
      <c r="M60" s="28" t="s">
        <v>227</v>
      </c>
      <c r="N60" s="7">
        <v>0</v>
      </c>
      <c r="O60" s="27">
        <f t="shared" si="6"/>
        <v>0</v>
      </c>
      <c r="P60" s="28" t="s">
        <v>227</v>
      </c>
    </row>
    <row r="61" spans="2:16" ht="15" thickBot="1">
      <c r="B61" s="9" t="s">
        <v>11</v>
      </c>
      <c r="C61" s="5" t="s">
        <v>85</v>
      </c>
      <c r="D61" s="7">
        <v>0</v>
      </c>
      <c r="E61" s="7">
        <v>0</v>
      </c>
      <c r="F61" s="27">
        <f t="shared" si="0"/>
        <v>0</v>
      </c>
      <c r="G61" s="28" t="s">
        <v>227</v>
      </c>
      <c r="H61" s="7">
        <v>0</v>
      </c>
      <c r="I61" s="27">
        <f t="shared" si="2"/>
        <v>0</v>
      </c>
      <c r="J61" s="28" t="s">
        <v>227</v>
      </c>
      <c r="K61" s="7">
        <v>0</v>
      </c>
      <c r="L61" s="27">
        <f t="shared" si="4"/>
        <v>0</v>
      </c>
      <c r="M61" s="28" t="s">
        <v>227</v>
      </c>
      <c r="N61" s="7">
        <v>0</v>
      </c>
      <c r="O61" s="27">
        <f t="shared" si="6"/>
        <v>0</v>
      </c>
      <c r="P61" s="28" t="s">
        <v>227</v>
      </c>
    </row>
    <row r="62" spans="2:16" ht="15" thickBot="1">
      <c r="B62" s="172" t="s">
        <v>48</v>
      </c>
      <c r="C62" s="14" t="s">
        <v>94</v>
      </c>
      <c r="D62" s="8">
        <f>D57-D58</f>
        <v>0</v>
      </c>
      <c r="E62" s="8">
        <f t="shared" ref="E62" si="62">E57-E58</f>
        <v>0</v>
      </c>
      <c r="F62" s="27">
        <f t="shared" si="0"/>
        <v>0</v>
      </c>
      <c r="G62" s="28" t="s">
        <v>227</v>
      </c>
      <c r="H62" s="8">
        <f t="shared" ref="H62" si="63">H57-H58</f>
        <v>0</v>
      </c>
      <c r="I62" s="27">
        <f t="shared" si="2"/>
        <v>0</v>
      </c>
      <c r="J62" s="28" t="s">
        <v>227</v>
      </c>
      <c r="K62" s="8">
        <f t="shared" ref="K62" si="64">K57-K58</f>
        <v>0</v>
      </c>
      <c r="L62" s="27">
        <f t="shared" si="4"/>
        <v>0</v>
      </c>
      <c r="M62" s="28" t="s">
        <v>227</v>
      </c>
      <c r="N62" s="8">
        <f t="shared" ref="N62" si="65">N57-N58</f>
        <v>0</v>
      </c>
      <c r="O62" s="27">
        <f t="shared" si="6"/>
        <v>0</v>
      </c>
      <c r="P62" s="28" t="s">
        <v>227</v>
      </c>
    </row>
    <row r="63" spans="2:16" ht="15" thickBot="1">
      <c r="B63" s="9" t="s">
        <v>95</v>
      </c>
      <c r="C63" s="5" t="s">
        <v>96</v>
      </c>
      <c r="D63" s="7">
        <v>0</v>
      </c>
      <c r="E63" s="7">
        <v>0</v>
      </c>
      <c r="F63" s="27">
        <f t="shared" si="0"/>
        <v>0</v>
      </c>
      <c r="G63" s="28" t="s">
        <v>227</v>
      </c>
      <c r="H63" s="7">
        <v>0</v>
      </c>
      <c r="I63" s="27">
        <f t="shared" si="2"/>
        <v>0</v>
      </c>
      <c r="J63" s="28" t="s">
        <v>227</v>
      </c>
      <c r="K63" s="7">
        <v>0</v>
      </c>
      <c r="L63" s="27">
        <f t="shared" si="4"/>
        <v>0</v>
      </c>
      <c r="M63" s="28" t="s">
        <v>227</v>
      </c>
      <c r="N63" s="7">
        <v>0</v>
      </c>
      <c r="O63" s="27">
        <f t="shared" si="6"/>
        <v>0</v>
      </c>
      <c r="P63" s="28" t="s">
        <v>227</v>
      </c>
    </row>
    <row r="64" spans="2:16" ht="15" thickBot="1">
      <c r="B64" s="172" t="s">
        <v>97</v>
      </c>
      <c r="C64" s="6" t="s">
        <v>98</v>
      </c>
      <c r="D64" s="12">
        <f>D56+D62</f>
        <v>26706.395000000004</v>
      </c>
      <c r="E64" s="12">
        <f t="shared" ref="E64" si="66">E56+E62</f>
        <v>24700.505000000005</v>
      </c>
      <c r="F64" s="30">
        <f t="shared" si="0"/>
        <v>-2005.8899999999994</v>
      </c>
      <c r="G64" s="28">
        <f t="shared" si="1"/>
        <v>-7.5108976707638719</v>
      </c>
      <c r="H64" s="12">
        <f t="shared" ref="H64" si="67">H56+H62</f>
        <v>20331.857000000004</v>
      </c>
      <c r="I64" s="30">
        <f t="shared" si="2"/>
        <v>-4368.648000000001</v>
      </c>
      <c r="J64" s="28">
        <f t="shared" si="3"/>
        <v>-17.686472402082469</v>
      </c>
      <c r="K64" s="12">
        <f t="shared" ref="K64" si="68">K56+K62</f>
        <v>27043.835999999996</v>
      </c>
      <c r="L64" s="30">
        <f t="shared" si="4"/>
        <v>6711.9789999999921</v>
      </c>
      <c r="M64" s="28">
        <f>(K64-H64)/ABS(H64)*100</f>
        <v>33.012129683973242</v>
      </c>
      <c r="N64" s="12">
        <f t="shared" ref="N64" si="69">N56+N62</f>
        <v>19483.725000000006</v>
      </c>
      <c r="O64" s="30">
        <f t="shared" si="6"/>
        <v>-7560.1109999999899</v>
      </c>
      <c r="P64" s="29">
        <f t="shared" si="7"/>
        <v>-27.955024575655578</v>
      </c>
    </row>
    <row r="65" spans="2:16" ht="15" thickBot="1">
      <c r="B65" s="1" t="s">
        <v>99</v>
      </c>
      <c r="C65" s="17" t="s">
        <v>100</v>
      </c>
      <c r="D65" s="12">
        <f>D34+D52+D62</f>
        <v>37434.395000000004</v>
      </c>
      <c r="E65" s="12">
        <f>E34+E52+E62</f>
        <v>33314.505000000005</v>
      </c>
      <c r="F65" s="30">
        <f t="shared" si="0"/>
        <v>-4119.8899999999994</v>
      </c>
      <c r="G65" s="28">
        <f t="shared" si="1"/>
        <v>-11.005627311460486</v>
      </c>
      <c r="H65" s="12">
        <f t="shared" ref="H65" si="70">H34+H52+H62</f>
        <v>25677.857000000004</v>
      </c>
      <c r="I65" s="30">
        <f t="shared" si="2"/>
        <v>-7636.648000000001</v>
      </c>
      <c r="J65" s="28">
        <f t="shared" si="3"/>
        <v>-22.922891995543683</v>
      </c>
      <c r="K65" s="12">
        <f t="shared" ref="K65" si="71">K34+K52+K62</f>
        <v>35766.835999999996</v>
      </c>
      <c r="L65" s="30">
        <f t="shared" si="4"/>
        <v>10088.978999999992</v>
      </c>
      <c r="M65" s="28">
        <f t="shared" si="5"/>
        <v>39.290580206907414</v>
      </c>
      <c r="N65" s="12">
        <f t="shared" ref="N65" si="72">N34+N52+N62</f>
        <v>24739.725000000006</v>
      </c>
      <c r="O65" s="30">
        <f t="shared" si="6"/>
        <v>-11027.11099999999</v>
      </c>
      <c r="P65" s="29">
        <f t="shared" si="7"/>
        <v>-30.830546487254257</v>
      </c>
    </row>
    <row r="67" spans="2:16">
      <c r="E67" s="10"/>
      <c r="F67" s="10"/>
      <c r="G67" s="10"/>
      <c r="H67" s="10"/>
      <c r="I67" s="10"/>
      <c r="J67" s="10"/>
      <c r="N67" s="10"/>
      <c r="O67" s="10"/>
    </row>
  </sheetData>
  <mergeCells count="7">
    <mergeCell ref="O3:P3"/>
    <mergeCell ref="D3:D4"/>
    <mergeCell ref="E3:E4"/>
    <mergeCell ref="F3:G3"/>
    <mergeCell ref="H3:H4"/>
    <mergeCell ref="I3:J3"/>
    <mergeCell ref="L3:M3"/>
  </mergeCells>
  <pageMargins left="0.7" right="0.7" top="0.78740157499999996" bottom="0.78740157499999996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topLeftCell="A52" workbookViewId="0">
      <selection activeCell="A7" sqref="A7:XFD7"/>
    </sheetView>
  </sheetViews>
  <sheetFormatPr baseColWidth="10" defaultColWidth="8.83203125" defaultRowHeight="14" x14ac:dyDescent="0"/>
  <cols>
    <col min="3" max="3" width="52.1640625" customWidth="1"/>
    <col min="4" max="4" width="7.5" bestFit="1" customWidth="1"/>
    <col min="5" max="5" width="9" customWidth="1"/>
    <col min="6" max="6" width="7.5" bestFit="1" customWidth="1"/>
    <col min="7" max="7" width="9" customWidth="1"/>
    <col min="8" max="8" width="7.5" bestFit="1" customWidth="1"/>
    <col min="9" max="9" width="9" customWidth="1"/>
    <col min="10" max="10" width="7.5" bestFit="1" customWidth="1"/>
    <col min="11" max="11" width="9.33203125" customWidth="1"/>
    <col min="12" max="12" width="7.5" bestFit="1" customWidth="1"/>
  </cols>
  <sheetData>
    <row r="1" spans="2:13">
      <c r="B1" s="16" t="s">
        <v>407</v>
      </c>
      <c r="C1" s="185"/>
    </row>
    <row r="2" spans="2:13">
      <c r="B2" s="16"/>
    </row>
    <row r="3" spans="2:13" ht="15" customHeight="1">
      <c r="B3" s="354"/>
      <c r="C3" s="352" t="s">
        <v>293</v>
      </c>
      <c r="D3" s="354">
        <v>2002</v>
      </c>
      <c r="E3" s="348" t="s">
        <v>292</v>
      </c>
      <c r="F3" s="354">
        <v>2003</v>
      </c>
      <c r="G3" s="348" t="s">
        <v>292</v>
      </c>
      <c r="H3" s="354">
        <v>2004</v>
      </c>
      <c r="I3" s="348" t="s">
        <v>292</v>
      </c>
      <c r="J3" s="354">
        <v>2005</v>
      </c>
      <c r="K3" s="348" t="s">
        <v>292</v>
      </c>
      <c r="L3" s="354">
        <v>2006</v>
      </c>
      <c r="M3" s="348" t="s">
        <v>292</v>
      </c>
    </row>
    <row r="4" spans="2:13">
      <c r="B4" s="354"/>
      <c r="C4" s="353"/>
      <c r="D4" s="354"/>
      <c r="E4" s="348"/>
      <c r="F4" s="354"/>
      <c r="G4" s="348"/>
      <c r="H4" s="354"/>
      <c r="I4" s="348"/>
      <c r="J4" s="354"/>
      <c r="K4" s="348"/>
      <c r="L4" s="354"/>
      <c r="M4" s="348"/>
    </row>
    <row r="5" spans="2:13">
      <c r="B5" s="176" t="s">
        <v>1</v>
      </c>
      <c r="C5" s="177" t="s">
        <v>2</v>
      </c>
      <c r="D5" s="147">
        <v>43321</v>
      </c>
      <c r="E5" s="291">
        <f>D5/$D$20*100</f>
        <v>14.874163090128755</v>
      </c>
      <c r="F5" s="147">
        <v>37245</v>
      </c>
      <c r="G5" s="292">
        <f>F5/$F$20*100</f>
        <v>12.141730127268934</v>
      </c>
      <c r="H5" s="147">
        <v>42932</v>
      </c>
      <c r="I5" s="292">
        <f>H5/$H$20*100</f>
        <v>13.719274474965806</v>
      </c>
      <c r="J5" s="147">
        <v>41156</v>
      </c>
      <c r="K5" s="292">
        <f>J5/$J$20*100</f>
        <v>12.456567270790202</v>
      </c>
      <c r="L5" s="147">
        <v>44963</v>
      </c>
      <c r="M5" s="293">
        <f>L5/$L$20*100</f>
        <v>14.237177579208016</v>
      </c>
    </row>
    <row r="6" spans="2:13">
      <c r="B6" s="176" t="s">
        <v>5</v>
      </c>
      <c r="C6" s="177" t="s">
        <v>6</v>
      </c>
      <c r="D6" s="178">
        <v>7296</v>
      </c>
      <c r="E6" s="291">
        <f t="shared" ref="E6:E18" si="0">D6/$D$20*100</f>
        <v>2.5050643776824035</v>
      </c>
      <c r="F6" s="178">
        <v>12082</v>
      </c>
      <c r="G6" s="292">
        <f t="shared" ref="G6:G20" si="1">F6/$F$20*100</f>
        <v>3.9386866263300644</v>
      </c>
      <c r="H6" s="178">
        <v>14790</v>
      </c>
      <c r="I6" s="292">
        <f t="shared" ref="I6:I20" si="2">H6/$H$20*100</f>
        <v>4.7262664093157616</v>
      </c>
      <c r="J6" s="178">
        <v>14698</v>
      </c>
      <c r="K6" s="292">
        <f t="shared" ref="K6:K20" si="3">J6/$J$20*100</f>
        <v>4.4486010726522114</v>
      </c>
      <c r="L6" s="178">
        <v>15030</v>
      </c>
      <c r="M6" s="293">
        <f t="shared" ref="M6:M20" si="4">L6/$L$20*100</f>
        <v>4.7591303742076034</v>
      </c>
    </row>
    <row r="7" spans="2:13">
      <c r="B7" s="176" t="s">
        <v>7</v>
      </c>
      <c r="C7" s="177" t="s">
        <v>8</v>
      </c>
      <c r="D7" s="178">
        <v>224907</v>
      </c>
      <c r="E7" s="291">
        <f t="shared" si="0"/>
        <v>77.221287553648068</v>
      </c>
      <c r="F7" s="178">
        <v>233843</v>
      </c>
      <c r="G7" s="292">
        <f t="shared" si="1"/>
        <v>76.231939808053411</v>
      </c>
      <c r="H7" s="178">
        <v>260125</v>
      </c>
      <c r="I7" s="292">
        <f t="shared" si="2"/>
        <v>83.125087878516737</v>
      </c>
      <c r="J7" s="178">
        <v>278525</v>
      </c>
      <c r="K7" s="292">
        <f t="shared" si="3"/>
        <v>84.300354725844144</v>
      </c>
      <c r="L7" s="178">
        <v>263231</v>
      </c>
      <c r="M7" s="293">
        <f t="shared" si="4"/>
        <v>83.350009815904301</v>
      </c>
    </row>
    <row r="8" spans="2:13" s="73" customFormat="1">
      <c r="B8" s="176" t="s">
        <v>9</v>
      </c>
      <c r="C8" s="177" t="s">
        <v>10</v>
      </c>
      <c r="D8" s="147">
        <v>223842</v>
      </c>
      <c r="E8" s="291">
        <f t="shared" si="0"/>
        <v>76.855622317596556</v>
      </c>
      <c r="F8" s="147">
        <v>232625</v>
      </c>
      <c r="G8" s="292">
        <f t="shared" si="1"/>
        <v>75.834876382224081</v>
      </c>
      <c r="H8" s="147">
        <v>253348</v>
      </c>
      <c r="I8" s="292">
        <f t="shared" si="2"/>
        <v>80.959441667838377</v>
      </c>
      <c r="J8" s="147">
        <v>273245</v>
      </c>
      <c r="K8" s="292">
        <f t="shared" si="3"/>
        <v>82.702272424605624</v>
      </c>
      <c r="L8" s="147">
        <v>263895</v>
      </c>
      <c r="M8" s="293">
        <f t="shared" si="4"/>
        <v>83.560260153128112</v>
      </c>
    </row>
    <row r="9" spans="2:13">
      <c r="B9" s="188" t="s">
        <v>11</v>
      </c>
      <c r="C9" s="190" t="s">
        <v>12</v>
      </c>
      <c r="D9" s="147">
        <v>420</v>
      </c>
      <c r="E9" s="291">
        <f>D9/$D$20*100</f>
        <v>0.14420600858369098</v>
      </c>
      <c r="F9" s="181">
        <v>235</v>
      </c>
      <c r="G9" s="292">
        <f t="shared" si="1"/>
        <v>7.6609117462966822E-2</v>
      </c>
      <c r="H9" s="181">
        <v>5723</v>
      </c>
      <c r="I9" s="292">
        <f t="shared" si="2"/>
        <v>1.8288318228880396</v>
      </c>
      <c r="J9" s="181">
        <v>3942</v>
      </c>
      <c r="K9" s="292">
        <f t="shared" si="3"/>
        <v>1.1931137180837541</v>
      </c>
      <c r="L9" s="181">
        <v>-1563</v>
      </c>
      <c r="M9" s="293">
        <f t="shared" si="4"/>
        <v>-0.49491156186869484</v>
      </c>
    </row>
    <row r="10" spans="2:13">
      <c r="B10" s="188" t="s">
        <v>13</v>
      </c>
      <c r="C10" s="190" t="s">
        <v>14</v>
      </c>
      <c r="D10" s="147">
        <v>645</v>
      </c>
      <c r="E10" s="291">
        <f t="shared" si="0"/>
        <v>0.22145922746781116</v>
      </c>
      <c r="F10" s="181">
        <v>983</v>
      </c>
      <c r="G10" s="292">
        <f t="shared" si="1"/>
        <v>0.32045430836636762</v>
      </c>
      <c r="H10" s="181">
        <v>1054</v>
      </c>
      <c r="I10" s="292">
        <f t="shared" si="2"/>
        <v>0.33681438779031864</v>
      </c>
      <c r="J10" s="181">
        <v>1338</v>
      </c>
      <c r="K10" s="292">
        <f t="shared" si="3"/>
        <v>0.4049685831547597</v>
      </c>
      <c r="L10" s="181">
        <v>899</v>
      </c>
      <c r="M10" s="293">
        <f t="shared" si="4"/>
        <v>0.28466122464488591</v>
      </c>
    </row>
    <row r="11" spans="2:13">
      <c r="B11" s="176" t="s">
        <v>5</v>
      </c>
      <c r="C11" s="177" t="s">
        <v>19</v>
      </c>
      <c r="D11" s="159">
        <v>98303</v>
      </c>
      <c r="E11" s="291">
        <f t="shared" si="0"/>
        <v>33.752103004291847</v>
      </c>
      <c r="F11" s="159">
        <v>106137</v>
      </c>
      <c r="G11" s="292">
        <f t="shared" si="1"/>
        <v>34.600263404965574</v>
      </c>
      <c r="H11" s="159">
        <v>115125</v>
      </c>
      <c r="I11" s="292">
        <f t="shared" si="2"/>
        <v>36.789142689146523</v>
      </c>
      <c r="J11" s="159">
        <v>134964</v>
      </c>
      <c r="K11" s="292">
        <f t="shared" si="3"/>
        <v>40.849162822794469</v>
      </c>
      <c r="L11" s="159">
        <v>126891</v>
      </c>
      <c r="M11" s="293">
        <f t="shared" si="4"/>
        <v>40.179029428714372</v>
      </c>
    </row>
    <row r="12" spans="2:13">
      <c r="B12" s="176" t="s">
        <v>31</v>
      </c>
      <c r="C12" s="177" t="s">
        <v>32</v>
      </c>
      <c r="D12" s="178">
        <v>2759</v>
      </c>
      <c r="E12" s="291">
        <f t="shared" si="0"/>
        <v>0.94729613733905582</v>
      </c>
      <c r="F12" s="178">
        <v>4263</v>
      </c>
      <c r="G12" s="292">
        <f t="shared" si="1"/>
        <v>1.3897219904026705</v>
      </c>
      <c r="H12" s="178">
        <v>1017</v>
      </c>
      <c r="I12" s="292">
        <f t="shared" si="2"/>
        <v>0.32499073281096214</v>
      </c>
      <c r="J12" s="178">
        <v>6014</v>
      </c>
      <c r="K12" s="292">
        <f t="shared" si="3"/>
        <v>1.8202399544788677</v>
      </c>
      <c r="L12" s="178">
        <v>5728</v>
      </c>
      <c r="M12" s="293">
        <f t="shared" si="4"/>
        <v>1.8137258006294843</v>
      </c>
    </row>
    <row r="13" spans="2:13">
      <c r="B13" s="176" t="s">
        <v>41</v>
      </c>
      <c r="C13" s="177" t="s">
        <v>42</v>
      </c>
      <c r="D13" s="147">
        <v>19625</v>
      </c>
      <c r="E13" s="291">
        <f t="shared" si="0"/>
        <v>6.7381974248927046</v>
      </c>
      <c r="F13" s="181">
        <v>30942</v>
      </c>
      <c r="G13" s="292">
        <f t="shared" si="1"/>
        <v>10.086975798038807</v>
      </c>
      <c r="H13" s="181">
        <v>8263</v>
      </c>
      <c r="I13" s="292">
        <f t="shared" si="2"/>
        <v>2.6405097593087317</v>
      </c>
      <c r="J13" s="181">
        <v>4155</v>
      </c>
      <c r="K13" s="292">
        <f t="shared" si="3"/>
        <v>1.2575818109178076</v>
      </c>
      <c r="L13" s="181">
        <v>1563</v>
      </c>
      <c r="M13" s="293">
        <f t="shared" si="4"/>
        <v>0.49491156186869484</v>
      </c>
    </row>
    <row r="14" spans="2:13">
      <c r="B14" s="176" t="s">
        <v>48</v>
      </c>
      <c r="C14" s="209" t="s">
        <v>49</v>
      </c>
      <c r="D14" s="159">
        <v>40862.395000000004</v>
      </c>
      <c r="E14" s="291">
        <f t="shared" si="0"/>
        <v>14.030006866952791</v>
      </c>
      <c r="F14" s="159">
        <v>36283.505000000005</v>
      </c>
      <c r="G14" s="292">
        <f t="shared" si="1"/>
        <v>11.82828636814104</v>
      </c>
      <c r="H14" s="159">
        <v>29705.857000000004</v>
      </c>
      <c r="I14" s="292">
        <f t="shared" si="2"/>
        <v>9.4927514603811698</v>
      </c>
      <c r="J14" s="159">
        <v>39074.835999999996</v>
      </c>
      <c r="K14" s="292">
        <f t="shared" si="3"/>
        <v>11.82666739306771</v>
      </c>
      <c r="L14" s="159">
        <v>28553.725000000006</v>
      </c>
      <c r="M14" s="293">
        <f t="shared" si="4"/>
        <v>9.0413107082016655</v>
      </c>
    </row>
    <row r="15" spans="2:13">
      <c r="B15" s="176" t="s">
        <v>69</v>
      </c>
      <c r="C15" s="177" t="s">
        <v>70</v>
      </c>
      <c r="D15" s="160">
        <v>45</v>
      </c>
      <c r="E15" s="291">
        <f t="shared" si="0"/>
        <v>1.5450643776824034E-2</v>
      </c>
      <c r="F15" s="160">
        <v>33</v>
      </c>
      <c r="G15" s="292">
        <f t="shared" si="1"/>
        <v>1.0757876069267683E-2</v>
      </c>
      <c r="H15" s="160">
        <v>22</v>
      </c>
      <c r="I15" s="292">
        <f t="shared" si="2"/>
        <v>7.0302813390768605E-3</v>
      </c>
      <c r="J15" s="160">
        <v>18</v>
      </c>
      <c r="K15" s="292">
        <f t="shared" si="3"/>
        <v>5.4480078451312969E-3</v>
      </c>
      <c r="L15" s="160">
        <v>8</v>
      </c>
      <c r="M15" s="293">
        <f t="shared" si="4"/>
        <v>2.5331365930579392E-3</v>
      </c>
    </row>
    <row r="16" spans="2:13">
      <c r="B16" s="176" t="s">
        <v>73</v>
      </c>
      <c r="C16" s="177" t="s">
        <v>74</v>
      </c>
      <c r="D16" s="160">
        <v>593</v>
      </c>
      <c r="E16" s="291">
        <f t="shared" si="0"/>
        <v>0.20360515021459225</v>
      </c>
      <c r="F16" s="160">
        <v>426</v>
      </c>
      <c r="G16" s="292">
        <f t="shared" si="1"/>
        <v>0.13887440016691008</v>
      </c>
      <c r="H16" s="160">
        <v>573</v>
      </c>
      <c r="I16" s="292">
        <f t="shared" si="2"/>
        <v>0.18310687305868367</v>
      </c>
      <c r="J16" s="160">
        <v>528</v>
      </c>
      <c r="K16" s="292">
        <f t="shared" si="3"/>
        <v>0.15980823012385137</v>
      </c>
      <c r="L16" s="160">
        <v>321</v>
      </c>
      <c r="M16" s="293">
        <f t="shared" si="4"/>
        <v>0.10164210579644981</v>
      </c>
    </row>
    <row r="17" spans="2:14">
      <c r="B17" s="176" t="s">
        <v>48</v>
      </c>
      <c r="C17" s="182" t="s">
        <v>81</v>
      </c>
      <c r="D17" s="180">
        <v>-3428</v>
      </c>
      <c r="E17" s="291">
        <f>D17/$D$20*100</f>
        <v>-1.1769957081545066</v>
      </c>
      <c r="F17" s="180">
        <v>-2969</v>
      </c>
      <c r="G17" s="292">
        <f t="shared" si="1"/>
        <v>-0.96788284998956808</v>
      </c>
      <c r="H17" s="180">
        <v>-4028</v>
      </c>
      <c r="I17" s="292">
        <f t="shared" si="2"/>
        <v>-1.287180601536436</v>
      </c>
      <c r="J17" s="180">
        <v>-3308</v>
      </c>
      <c r="K17" s="292">
        <f t="shared" si="3"/>
        <v>-1.0012227750941296</v>
      </c>
      <c r="L17" s="180">
        <v>-3814</v>
      </c>
      <c r="M17" s="293">
        <f t="shared" si="4"/>
        <v>-1.2076728707403723</v>
      </c>
    </row>
    <row r="18" spans="2:14">
      <c r="B18" s="184" t="s">
        <v>97</v>
      </c>
      <c r="C18" s="183" t="s">
        <v>98</v>
      </c>
      <c r="D18" s="159">
        <v>26706.395000000004</v>
      </c>
      <c r="E18" s="291">
        <f t="shared" si="0"/>
        <v>9.1695776824034354</v>
      </c>
      <c r="F18" s="159">
        <v>24700.505000000005</v>
      </c>
      <c r="G18" s="292">
        <f t="shared" si="1"/>
        <v>8.0522718678280842</v>
      </c>
      <c r="H18" s="159">
        <v>20331.857000000004</v>
      </c>
      <c r="I18" s="292">
        <f t="shared" si="2"/>
        <v>6.4972124934490578</v>
      </c>
      <c r="J18" s="159">
        <v>27043.835999999996</v>
      </c>
      <c r="K18" s="292">
        <f t="shared" si="3"/>
        <v>8.1852794828024535</v>
      </c>
      <c r="L18" s="159">
        <v>19483.725000000006</v>
      </c>
      <c r="M18" s="293">
        <f t="shared" si="4"/>
        <v>6.1693670958222269</v>
      </c>
    </row>
    <row r="19" spans="2:14">
      <c r="B19" s="184" t="s">
        <v>99</v>
      </c>
      <c r="C19" s="183" t="s">
        <v>100</v>
      </c>
      <c r="D19" s="159">
        <v>37434.395000000004</v>
      </c>
      <c r="E19" s="291">
        <f>D19/$D$20*100</f>
        <v>12.853011158798285</v>
      </c>
      <c r="F19" s="159">
        <v>33314.505000000005</v>
      </c>
      <c r="G19" s="292">
        <f t="shared" si="1"/>
        <v>10.860403518151472</v>
      </c>
      <c r="H19" s="159">
        <v>25677.857000000004</v>
      </c>
      <c r="I19" s="292">
        <f t="shared" si="2"/>
        <v>8.2055708588447338</v>
      </c>
      <c r="J19" s="180">
        <v>35766.835999999996</v>
      </c>
      <c r="K19" s="292">
        <f t="shared" si="3"/>
        <v>10.825444617973581</v>
      </c>
      <c r="L19" s="159">
        <v>24739.725000000006</v>
      </c>
      <c r="M19" s="293">
        <f t="shared" si="4"/>
        <v>7.8336378374612918</v>
      </c>
    </row>
    <row r="20" spans="2:14">
      <c r="B20" s="92"/>
      <c r="C20" s="183" t="s">
        <v>291</v>
      </c>
      <c r="D20" s="189">
        <f>D5+D7+D12+D13+D15+D16</f>
        <v>291250</v>
      </c>
      <c r="E20" s="291">
        <f>D20/$D$20*100</f>
        <v>100</v>
      </c>
      <c r="F20" s="189">
        <f>F5+F7+F12+F13+F15+F16</f>
        <v>306752</v>
      </c>
      <c r="G20" s="292">
        <f t="shared" si="1"/>
        <v>100</v>
      </c>
      <c r="H20" s="189">
        <f>H5+H7+H12+H13+H15+H16</f>
        <v>312932</v>
      </c>
      <c r="I20" s="292">
        <f t="shared" si="2"/>
        <v>100</v>
      </c>
      <c r="J20" s="189">
        <f>J5+J7+J12+J13+J15+J16</f>
        <v>330396</v>
      </c>
      <c r="K20" s="292">
        <f t="shared" si="3"/>
        <v>100</v>
      </c>
      <c r="L20" s="189">
        <f>L5+L7+L12+L13+L15+L16</f>
        <v>315814</v>
      </c>
      <c r="M20" s="293">
        <f t="shared" si="4"/>
        <v>100</v>
      </c>
    </row>
    <row r="21" spans="2:14">
      <c r="D21" s="113"/>
      <c r="E21" s="113"/>
      <c r="F21" s="113"/>
      <c r="G21" s="113"/>
      <c r="H21" s="113"/>
      <c r="I21" s="113"/>
      <c r="J21" s="113"/>
      <c r="K21" s="113"/>
      <c r="L21" s="113"/>
    </row>
    <row r="22" spans="2:14">
      <c r="B22" s="16" t="s">
        <v>408</v>
      </c>
      <c r="D22" s="113"/>
      <c r="E22" s="113"/>
      <c r="F22" s="113"/>
      <c r="G22" s="113"/>
      <c r="H22" s="113"/>
      <c r="I22" s="113"/>
      <c r="J22" s="113"/>
      <c r="K22" s="113"/>
      <c r="L22" s="113"/>
    </row>
    <row r="23" spans="2:14">
      <c r="B23" s="16"/>
      <c r="D23" s="113"/>
      <c r="E23" s="113"/>
      <c r="F23" s="113"/>
      <c r="G23" s="113"/>
      <c r="H23" s="113"/>
      <c r="I23" s="113"/>
      <c r="J23" s="113"/>
      <c r="K23" s="113"/>
      <c r="L23" s="113"/>
    </row>
    <row r="24" spans="2:14" ht="15" customHeight="1">
      <c r="B24" s="356"/>
      <c r="C24" s="356" t="s">
        <v>321</v>
      </c>
      <c r="D24" s="354">
        <v>2002</v>
      </c>
      <c r="E24" s="348" t="s">
        <v>292</v>
      </c>
      <c r="F24" s="354">
        <v>2003</v>
      </c>
      <c r="G24" s="348" t="s">
        <v>292</v>
      </c>
      <c r="H24" s="354">
        <v>2004</v>
      </c>
      <c r="I24" s="348" t="s">
        <v>292</v>
      </c>
      <c r="J24" s="354">
        <v>2005</v>
      </c>
      <c r="K24" s="348" t="s">
        <v>292</v>
      </c>
      <c r="L24" s="354">
        <v>2006</v>
      </c>
      <c r="M24" s="348" t="s">
        <v>292</v>
      </c>
    </row>
    <row r="25" spans="2:14">
      <c r="B25" s="356"/>
      <c r="C25" s="356"/>
      <c r="D25" s="354"/>
      <c r="E25" s="348"/>
      <c r="F25" s="354"/>
      <c r="G25" s="348"/>
      <c r="H25" s="354"/>
      <c r="I25" s="348"/>
      <c r="J25" s="354"/>
      <c r="K25" s="348"/>
      <c r="L25" s="354"/>
      <c r="M25" s="348"/>
    </row>
    <row r="26" spans="2:14">
      <c r="B26" s="176" t="s">
        <v>1</v>
      </c>
      <c r="C26" s="177" t="s">
        <v>2</v>
      </c>
      <c r="D26" s="147">
        <v>43321</v>
      </c>
      <c r="E26" s="293">
        <f>D26/$D$29*100</f>
        <v>16.049451322974786</v>
      </c>
      <c r="F26" s="147">
        <v>37245</v>
      </c>
      <c r="G26" s="293">
        <f>F26/$F$29*100</f>
        <v>13.586470800669748</v>
      </c>
      <c r="H26" s="147">
        <v>42932</v>
      </c>
      <c r="I26" s="293">
        <f>H26/$H$29*100</f>
        <v>14.440778077141713</v>
      </c>
      <c r="J26" s="147">
        <v>41156</v>
      </c>
      <c r="K26" s="293">
        <f>J26/$J$29*100</f>
        <v>12.844592169530141</v>
      </c>
      <c r="L26" s="147">
        <v>44963</v>
      </c>
      <c r="M26" s="293">
        <f>L26/$L$29*100</f>
        <v>14.292753015073782</v>
      </c>
    </row>
    <row r="27" spans="2:14">
      <c r="B27" s="176" t="s">
        <v>9</v>
      </c>
      <c r="C27" s="177" t="s">
        <v>10</v>
      </c>
      <c r="D27" s="147">
        <v>223842</v>
      </c>
      <c r="E27" s="293">
        <f t="shared" ref="E27:E29" si="5">D27/$D$29*100</f>
        <v>82.928401538222147</v>
      </c>
      <c r="F27" s="147">
        <v>232625</v>
      </c>
      <c r="G27" s="293">
        <f t="shared" ref="G27:G29" si="6">F27/$F$29*100</f>
        <v>84.858444623595119</v>
      </c>
      <c r="H27" s="147">
        <v>253348</v>
      </c>
      <c r="I27" s="293">
        <f t="shared" ref="I27:I29" si="7">H27/$H$29*100</f>
        <v>85.217139762594314</v>
      </c>
      <c r="J27" s="147">
        <v>273245</v>
      </c>
      <c r="K27" s="293">
        <f t="shared" ref="K27:K29" si="8">J27/$J$29*100</f>
        <v>85.278466988124777</v>
      </c>
      <c r="L27" s="147">
        <v>263895</v>
      </c>
      <c r="M27" s="293">
        <f t="shared" ref="M27:M29" si="9">L27/$L$29*100</f>
        <v>83.886441227518077</v>
      </c>
    </row>
    <row r="28" spans="2:14">
      <c r="B28" s="176" t="s">
        <v>31</v>
      </c>
      <c r="C28" s="177" t="s">
        <v>32</v>
      </c>
      <c r="D28" s="193">
        <v>2759</v>
      </c>
      <c r="E28" s="293">
        <f t="shared" si="5"/>
        <v>1.0221471388030616</v>
      </c>
      <c r="F28" s="193">
        <v>4263</v>
      </c>
      <c r="G28" s="293">
        <f t="shared" si="6"/>
        <v>1.5550845757351359</v>
      </c>
      <c r="H28" s="193">
        <v>1017</v>
      </c>
      <c r="I28" s="293">
        <f t="shared" si="7"/>
        <v>0.34208216026397847</v>
      </c>
      <c r="J28" s="193">
        <v>6014</v>
      </c>
      <c r="K28" s="293">
        <f t="shared" si="8"/>
        <v>1.8769408423450837</v>
      </c>
      <c r="L28" s="193">
        <v>5728</v>
      </c>
      <c r="M28" s="293">
        <f t="shared" si="9"/>
        <v>1.8208057574081491</v>
      </c>
    </row>
    <row r="29" spans="2:14">
      <c r="B29" s="81"/>
      <c r="C29" s="177" t="s">
        <v>237</v>
      </c>
      <c r="D29" s="189">
        <f>D26+D27+D28</f>
        <v>269922</v>
      </c>
      <c r="E29" s="293">
        <f t="shared" si="5"/>
        <v>100</v>
      </c>
      <c r="F29" s="189">
        <f>F26+F27+F28</f>
        <v>274133</v>
      </c>
      <c r="G29" s="293">
        <f t="shared" si="6"/>
        <v>100</v>
      </c>
      <c r="H29" s="189">
        <f>H26+H27+H28</f>
        <v>297297</v>
      </c>
      <c r="I29" s="293">
        <f t="shared" si="7"/>
        <v>100</v>
      </c>
      <c r="J29" s="189">
        <f>J26+J27+J28</f>
        <v>320415</v>
      </c>
      <c r="K29" s="293">
        <f t="shared" si="8"/>
        <v>100</v>
      </c>
      <c r="L29" s="189">
        <f>L26+L27+L28</f>
        <v>314586</v>
      </c>
      <c r="M29" s="293">
        <f t="shared" si="9"/>
        <v>100</v>
      </c>
    </row>
    <row r="30" spans="2:14">
      <c r="B30" s="113"/>
      <c r="C30" s="296"/>
      <c r="D30" s="114"/>
      <c r="E30" s="297"/>
      <c r="F30" s="114"/>
      <c r="G30" s="297"/>
      <c r="H30" s="114"/>
      <c r="I30" s="297"/>
      <c r="J30" s="114"/>
      <c r="K30" s="297"/>
      <c r="L30" s="114"/>
      <c r="M30" s="297"/>
      <c r="N30" s="73"/>
    </row>
    <row r="31" spans="2:14">
      <c r="B31" s="288" t="s">
        <v>410</v>
      </c>
      <c r="C31" s="296"/>
      <c r="D31" s="114"/>
      <c r="E31" s="297"/>
      <c r="F31" s="114"/>
      <c r="G31" s="297"/>
      <c r="H31" s="114"/>
      <c r="I31" s="297"/>
      <c r="J31" s="114"/>
      <c r="K31" s="297"/>
      <c r="L31" s="114"/>
      <c r="M31" s="297"/>
      <c r="N31" s="73"/>
    </row>
    <row r="32" spans="2:14">
      <c r="D32" s="113"/>
      <c r="E32" s="113"/>
      <c r="F32" s="113"/>
      <c r="G32" s="113"/>
      <c r="H32" s="113"/>
      <c r="I32" s="113"/>
      <c r="J32" s="113"/>
      <c r="K32" s="113"/>
      <c r="L32" s="113"/>
    </row>
    <row r="33" spans="1:13" ht="30.75" customHeight="1">
      <c r="B33" s="354"/>
      <c r="C33" s="355" t="s">
        <v>294</v>
      </c>
      <c r="D33" s="354">
        <v>2002</v>
      </c>
      <c r="E33" s="348" t="s">
        <v>292</v>
      </c>
      <c r="F33" s="354">
        <v>2003</v>
      </c>
      <c r="G33" s="348" t="s">
        <v>292</v>
      </c>
      <c r="H33" s="354">
        <v>2004</v>
      </c>
      <c r="I33" s="348" t="s">
        <v>292</v>
      </c>
      <c r="J33" s="354">
        <v>2005</v>
      </c>
      <c r="K33" s="348" t="s">
        <v>292</v>
      </c>
      <c r="L33" s="354">
        <v>2006</v>
      </c>
      <c r="M33" s="348" t="s">
        <v>292</v>
      </c>
    </row>
    <row r="34" spans="1:13">
      <c r="B34" s="354"/>
      <c r="C34" s="355"/>
      <c r="D34" s="354"/>
      <c r="E34" s="348"/>
      <c r="F34" s="354"/>
      <c r="G34" s="348"/>
      <c r="H34" s="354"/>
      <c r="I34" s="348"/>
      <c r="J34" s="354"/>
      <c r="K34" s="348"/>
      <c r="L34" s="354"/>
      <c r="M34" s="348"/>
    </row>
    <row r="35" spans="1:13">
      <c r="B35" s="176" t="s">
        <v>3</v>
      </c>
      <c r="C35" s="177" t="s">
        <v>4</v>
      </c>
      <c r="D35" s="200">
        <v>36025</v>
      </c>
      <c r="E35" s="292">
        <f>D35/$D$51*100</f>
        <v>14.193374753297775</v>
      </c>
      <c r="F35" s="200">
        <v>25163</v>
      </c>
      <c r="G35" s="292">
        <f>F35/$F$51*100</f>
        <v>9.2024687397022849</v>
      </c>
      <c r="H35" s="200">
        <v>28142</v>
      </c>
      <c r="I35" s="292">
        <f>H35/$H$51*100</f>
        <v>9.7968996046821157</v>
      </c>
      <c r="J35" s="200">
        <v>26458</v>
      </c>
      <c r="K35" s="292">
        <f>J35/$J$51*100</f>
        <v>8.9801021870326458</v>
      </c>
      <c r="L35" s="200">
        <v>29933</v>
      </c>
      <c r="M35" s="293">
        <f>L35/$L$51*100</f>
        <v>10.283629496285783</v>
      </c>
    </row>
    <row r="36" spans="1:13">
      <c r="B36" s="176" t="s">
        <v>5</v>
      </c>
      <c r="C36" s="177" t="s">
        <v>6</v>
      </c>
      <c r="D36" s="201">
        <v>7296</v>
      </c>
      <c r="E36" s="292">
        <f t="shared" ref="E36:E50" si="10">D36/$D$51*100</f>
        <v>2.8745277501751718</v>
      </c>
      <c r="F36" s="201">
        <v>12082</v>
      </c>
      <c r="G36" s="292">
        <f t="shared" ref="G36:G51" si="11">F36/$F$51*100</f>
        <v>4.4185600807965271</v>
      </c>
      <c r="H36" s="201">
        <v>14790</v>
      </c>
      <c r="I36" s="292">
        <f t="shared" ref="I36:I51" si="12">H36/$H$51*100</f>
        <v>5.1487508049622805</v>
      </c>
      <c r="J36" s="201">
        <v>14698</v>
      </c>
      <c r="K36" s="292">
        <f t="shared" ref="K36:K51" si="13">J36/$J$51*100</f>
        <v>4.9886439619398981</v>
      </c>
      <c r="L36" s="201">
        <v>15030</v>
      </c>
      <c r="M36" s="293">
        <f t="shared" ref="M36:M51" si="14">L36/$L$51*100</f>
        <v>5.163630485723961</v>
      </c>
    </row>
    <row r="37" spans="1:13">
      <c r="A37" t="s">
        <v>226</v>
      </c>
      <c r="B37" s="176" t="s">
        <v>15</v>
      </c>
      <c r="C37" s="177" t="s">
        <v>16</v>
      </c>
      <c r="D37" s="201">
        <v>133900</v>
      </c>
      <c r="E37" s="292">
        <f t="shared" si="10"/>
        <v>52.754833572979095</v>
      </c>
      <c r="F37" s="201">
        <v>139788</v>
      </c>
      <c r="G37" s="292">
        <f t="shared" si="11"/>
        <v>51.12246950623944</v>
      </c>
      <c r="H37" s="201">
        <v>159790</v>
      </c>
      <c r="I37" s="292">
        <f t="shared" si="12"/>
        <v>55.626699873219934</v>
      </c>
      <c r="J37" s="201">
        <v>158259</v>
      </c>
      <c r="K37" s="292">
        <f t="shared" si="13"/>
        <v>53.714641772530022</v>
      </c>
      <c r="L37" s="201">
        <v>151370</v>
      </c>
      <c r="M37" s="293">
        <f t="shared" si="14"/>
        <v>52.003908624353691</v>
      </c>
    </row>
    <row r="38" spans="1:13">
      <c r="B38" s="176" t="s">
        <v>5</v>
      </c>
      <c r="C38" s="177" t="s">
        <v>19</v>
      </c>
      <c r="D38" s="202">
        <v>98303</v>
      </c>
      <c r="E38" s="292">
        <f t="shared" si="10"/>
        <v>38.73008517344708</v>
      </c>
      <c r="F38" s="202">
        <v>106137</v>
      </c>
      <c r="G38" s="292">
        <f t="shared" si="11"/>
        <v>38.815817852632101</v>
      </c>
      <c r="H38" s="202">
        <v>115125</v>
      </c>
      <c r="I38" s="292">
        <f t="shared" si="12"/>
        <v>40.07775094126319</v>
      </c>
      <c r="J38" s="202">
        <v>134964</v>
      </c>
      <c r="K38" s="292">
        <f t="shared" si="13"/>
        <v>45.808092507773608</v>
      </c>
      <c r="L38" s="202">
        <v>126891</v>
      </c>
      <c r="M38" s="293">
        <f t="shared" si="14"/>
        <v>43.594027675582112</v>
      </c>
    </row>
    <row r="39" spans="1:13">
      <c r="B39" s="176" t="s">
        <v>20</v>
      </c>
      <c r="C39" s="177" t="s">
        <v>21</v>
      </c>
      <c r="D39" s="202">
        <v>53818.604999999996</v>
      </c>
      <c r="E39" s="292">
        <f t="shared" si="10"/>
        <v>21.203820387639286</v>
      </c>
      <c r="F39" s="202">
        <v>60111.495000000003</v>
      </c>
      <c r="G39" s="292">
        <f t="shared" si="11"/>
        <v>21.983632859129287</v>
      </c>
      <c r="H39" s="202">
        <v>68458.142999999996</v>
      </c>
      <c r="I39" s="292">
        <f t="shared" si="12"/>
        <v>23.831907970079307</v>
      </c>
      <c r="J39" s="202">
        <v>78262.164000000004</v>
      </c>
      <c r="K39" s="292">
        <f t="shared" si="13"/>
        <v>26.562938623414755</v>
      </c>
      <c r="L39" s="202">
        <v>83665.274999999994</v>
      </c>
      <c r="M39" s="293">
        <f t="shared" si="14"/>
        <v>28.743617071622008</v>
      </c>
    </row>
    <row r="40" spans="1:13">
      <c r="B40" s="176" t="s">
        <v>27</v>
      </c>
      <c r="C40" s="177" t="s">
        <v>28</v>
      </c>
      <c r="D40" s="203">
        <v>148</v>
      </c>
      <c r="E40" s="292">
        <f t="shared" si="10"/>
        <v>5.8310047563860393E-2</v>
      </c>
      <c r="F40" s="204">
        <v>195</v>
      </c>
      <c r="G40" s="292">
        <f t="shared" si="11"/>
        <v>7.1314287018318392E-2</v>
      </c>
      <c r="H40" s="204">
        <v>238</v>
      </c>
      <c r="I40" s="292">
        <f t="shared" si="12"/>
        <v>8.2853461229278086E-2</v>
      </c>
      <c r="J40" s="204">
        <v>242</v>
      </c>
      <c r="K40" s="292">
        <f t="shared" si="13"/>
        <v>8.2137150550377971E-2</v>
      </c>
      <c r="L40" s="204">
        <v>328</v>
      </c>
      <c r="M40" s="293">
        <f t="shared" si="14"/>
        <v>0.11268601459197998</v>
      </c>
    </row>
    <row r="41" spans="1:13">
      <c r="B41" s="176" t="s">
        <v>29</v>
      </c>
      <c r="C41" s="177" t="s">
        <v>30</v>
      </c>
      <c r="D41" s="203">
        <v>9996</v>
      </c>
      <c r="E41" s="292">
        <f t="shared" si="10"/>
        <v>3.9382921314077599</v>
      </c>
      <c r="F41" s="203">
        <v>12345</v>
      </c>
      <c r="G41" s="292">
        <f t="shared" si="11"/>
        <v>4.5147429396981567</v>
      </c>
      <c r="H41" s="203">
        <v>17021</v>
      </c>
      <c r="I41" s="292">
        <f t="shared" si="12"/>
        <v>5.9254149730400929</v>
      </c>
      <c r="J41" s="203">
        <v>18145</v>
      </c>
      <c r="K41" s="292">
        <f t="shared" si="13"/>
        <v>6.1585892427132576</v>
      </c>
      <c r="L41" s="203">
        <v>17121</v>
      </c>
      <c r="M41" s="293">
        <f t="shared" si="14"/>
        <v>5.882003828747834</v>
      </c>
    </row>
    <row r="42" spans="1:13">
      <c r="B42" s="176" t="s">
        <v>35</v>
      </c>
      <c r="C42" s="177" t="s">
        <v>36</v>
      </c>
      <c r="D42" s="202">
        <v>1712</v>
      </c>
      <c r="E42" s="292">
        <f t="shared" si="10"/>
        <v>0.67450541506303363</v>
      </c>
      <c r="F42" s="202">
        <v>2758</v>
      </c>
      <c r="G42" s="292">
        <f t="shared" si="11"/>
        <v>1.0086400184437032</v>
      </c>
      <c r="H42" s="205">
        <v>561</v>
      </c>
      <c r="I42" s="292">
        <f t="shared" si="12"/>
        <v>0.19529744432615548</v>
      </c>
      <c r="J42" s="202">
        <v>5358</v>
      </c>
      <c r="K42" s="292">
        <f t="shared" si="13"/>
        <v>1.8185572423509304</v>
      </c>
      <c r="L42" s="205">
        <v>3622</v>
      </c>
      <c r="M42" s="293">
        <f t="shared" si="14"/>
        <v>1.2443559294272912</v>
      </c>
    </row>
    <row r="43" spans="1:13" ht="28">
      <c r="B43" s="176" t="s">
        <v>39</v>
      </c>
      <c r="C43" s="197" t="s">
        <v>40</v>
      </c>
      <c r="D43" s="198">
        <v>-3695</v>
      </c>
      <c r="E43" s="294">
        <f t="shared" si="10"/>
        <v>-1.4557812550571902</v>
      </c>
      <c r="F43" s="198">
        <v>-1293</v>
      </c>
      <c r="G43" s="294">
        <f t="shared" si="11"/>
        <v>-0.47286858007531118</v>
      </c>
      <c r="H43" s="199">
        <v>-542</v>
      </c>
      <c r="I43" s="294">
        <f t="shared" si="12"/>
        <v>-0.18868309237928033</v>
      </c>
      <c r="J43" s="198">
        <v>726</v>
      </c>
      <c r="K43" s="294">
        <f t="shared" si="13"/>
        <v>0.24641145165113393</v>
      </c>
      <c r="L43" s="199">
        <v>-93</v>
      </c>
      <c r="M43" s="293">
        <f t="shared" si="14"/>
        <v>-3.1950607795896771E-2</v>
      </c>
    </row>
    <row r="44" spans="1:13">
      <c r="B44" s="176" t="s">
        <v>43</v>
      </c>
      <c r="C44" s="177" t="s">
        <v>44</v>
      </c>
      <c r="D44" s="200">
        <v>17845</v>
      </c>
      <c r="E44" s="292">
        <f t="shared" si="10"/>
        <v>7.0306945863316805</v>
      </c>
      <c r="F44" s="200">
        <v>30942</v>
      </c>
      <c r="G44" s="292">
        <f t="shared" si="11"/>
        <v>11.315931635491323</v>
      </c>
      <c r="H44" s="206">
        <v>8963</v>
      </c>
      <c r="I44" s="292">
        <f t="shared" si="12"/>
        <v>3.1202334999916781</v>
      </c>
      <c r="J44" s="200">
        <v>3325</v>
      </c>
      <c r="K44" s="292">
        <f t="shared" si="13"/>
        <v>1.1285372957851518</v>
      </c>
      <c r="L44" s="206">
        <v>985</v>
      </c>
      <c r="M44" s="293">
        <f t="shared" si="14"/>
        <v>0.33840159869847647</v>
      </c>
    </row>
    <row r="45" spans="1:13">
      <c r="B45" s="176" t="s">
        <v>48</v>
      </c>
      <c r="C45" s="182" t="s">
        <v>49</v>
      </c>
      <c r="D45" s="202">
        <v>40862.395000000004</v>
      </c>
      <c r="E45" s="292">
        <f t="shared" si="10"/>
        <v>16.099244567724671</v>
      </c>
      <c r="F45" s="202">
        <v>36283.505000000005</v>
      </c>
      <c r="G45" s="292">
        <f t="shared" si="11"/>
        <v>13.269396356926109</v>
      </c>
      <c r="H45" s="202">
        <v>29705.857000000004</v>
      </c>
      <c r="I45" s="292">
        <f t="shared" si="12"/>
        <v>10.341315425344451</v>
      </c>
      <c r="J45" s="202">
        <v>39074.835999999996</v>
      </c>
      <c r="K45" s="292">
        <f t="shared" si="13"/>
        <v>13.262378872988961</v>
      </c>
      <c r="L45" s="202">
        <v>28553.725000000006</v>
      </c>
      <c r="M45" s="293">
        <f t="shared" si="14"/>
        <v>9.8097727805042201</v>
      </c>
    </row>
    <row r="46" spans="1:13">
      <c r="B46" s="176" t="s">
        <v>71</v>
      </c>
      <c r="C46" s="177" t="s">
        <v>72</v>
      </c>
      <c r="D46" s="207">
        <v>1933</v>
      </c>
      <c r="E46" s="292">
        <f t="shared" si="10"/>
        <v>0.7615764996009603</v>
      </c>
      <c r="F46" s="207">
        <v>1302</v>
      </c>
      <c r="G46" s="292">
        <f t="shared" si="11"/>
        <v>0.47616000870692582</v>
      </c>
      <c r="H46" s="207">
        <v>1495</v>
      </c>
      <c r="I46" s="292">
        <f t="shared" si="12"/>
        <v>0.52044506108307032</v>
      </c>
      <c r="J46" s="207">
        <v>1021</v>
      </c>
      <c r="K46" s="292">
        <f t="shared" si="13"/>
        <v>0.34653731699147067</v>
      </c>
      <c r="L46" s="207">
        <v>1222</v>
      </c>
      <c r="M46" s="293">
        <f t="shared" si="14"/>
        <v>0.41982411533963276</v>
      </c>
    </row>
    <row r="47" spans="1:13">
      <c r="B47" s="176" t="s">
        <v>75</v>
      </c>
      <c r="C47" s="177" t="s">
        <v>76</v>
      </c>
      <c r="D47" s="207">
        <v>2133</v>
      </c>
      <c r="E47" s="292">
        <f t="shared" si="10"/>
        <v>0.84037386117374457</v>
      </c>
      <c r="F47" s="207">
        <v>2126</v>
      </c>
      <c r="G47" s="292">
        <f t="shared" si="11"/>
        <v>0.77750858564587133</v>
      </c>
      <c r="H47" s="207">
        <v>3128</v>
      </c>
      <c r="I47" s="292">
        <f t="shared" si="12"/>
        <v>1.0889312047276547</v>
      </c>
      <c r="J47" s="207">
        <v>2833</v>
      </c>
      <c r="K47" s="292">
        <f t="shared" si="13"/>
        <v>0.9615477169802511</v>
      </c>
      <c r="L47" s="207">
        <v>2921</v>
      </c>
      <c r="M47" s="293">
        <f t="shared" si="14"/>
        <v>1.0035239287291877</v>
      </c>
    </row>
    <row r="48" spans="1:13">
      <c r="B48" s="176" t="s">
        <v>48</v>
      </c>
      <c r="C48" s="182" t="s">
        <v>81</v>
      </c>
      <c r="D48" s="205">
        <v>-3428</v>
      </c>
      <c r="E48" s="292">
        <f t="shared" si="10"/>
        <v>-1.3505867773575231</v>
      </c>
      <c r="F48" s="205">
        <v>-2969</v>
      </c>
      <c r="G48" s="292">
        <f t="shared" si="11"/>
        <v>-1.0858057341404477</v>
      </c>
      <c r="H48" s="205">
        <v>-4028</v>
      </c>
      <c r="I48" s="292">
        <f t="shared" si="12"/>
        <v>-1.4022426127375298</v>
      </c>
      <c r="J48" s="205">
        <v>-3308</v>
      </c>
      <c r="K48" s="292">
        <f t="shared" si="13"/>
        <v>-1.1227673306638442</v>
      </c>
      <c r="L48" s="205">
        <v>-3814</v>
      </c>
      <c r="M48" s="293">
        <f t="shared" si="14"/>
        <v>-1.3103184745543039</v>
      </c>
    </row>
    <row r="49" spans="2:15">
      <c r="B49" s="184" t="s">
        <v>97</v>
      </c>
      <c r="C49" s="183" t="s">
        <v>98</v>
      </c>
      <c r="D49" s="202">
        <v>26706.395000000004</v>
      </c>
      <c r="E49" s="292">
        <f t="shared" si="10"/>
        <v>10.521967315602996</v>
      </c>
      <c r="F49" s="202">
        <v>24700.505000000005</v>
      </c>
      <c r="G49" s="292">
        <f t="shared" si="11"/>
        <v>9.0333277080379943</v>
      </c>
      <c r="H49" s="202">
        <v>20331.857000000004</v>
      </c>
      <c r="I49" s="292">
        <f t="shared" si="12"/>
        <v>7.078003049028263</v>
      </c>
      <c r="J49" s="202">
        <v>27043.835999999996</v>
      </c>
      <c r="K49" s="292">
        <f t="shared" si="13"/>
        <v>9.17894061566831</v>
      </c>
      <c r="L49" s="202">
        <v>19483.725000000006</v>
      </c>
      <c r="M49" s="293">
        <f t="shared" si="14"/>
        <v>6.6937296330979459</v>
      </c>
    </row>
    <row r="50" spans="2:15">
      <c r="B50" s="184" t="s">
        <v>99</v>
      </c>
      <c r="C50" s="183" t="s">
        <v>100</v>
      </c>
      <c r="D50" s="202">
        <v>37434.395000000004</v>
      </c>
      <c r="E50" s="292">
        <f t="shared" si="10"/>
        <v>14.748657790367147</v>
      </c>
      <c r="F50" s="202">
        <v>33314.505000000005</v>
      </c>
      <c r="G50" s="292">
        <f t="shared" si="11"/>
        <v>12.183590622785658</v>
      </c>
      <c r="H50" s="202">
        <v>25677.857000000004</v>
      </c>
      <c r="I50" s="292">
        <f t="shared" si="12"/>
        <v>8.9390728126069199</v>
      </c>
      <c r="J50" s="205">
        <v>35766.835999999996</v>
      </c>
      <c r="K50" s="292">
        <f t="shared" si="13"/>
        <v>12.139611542325117</v>
      </c>
      <c r="L50" s="202">
        <v>24739.725000000006</v>
      </c>
      <c r="M50" s="293">
        <f t="shared" si="14"/>
        <v>8.4994543059499179</v>
      </c>
    </row>
    <row r="51" spans="2:15">
      <c r="B51" s="92"/>
      <c r="C51" s="183" t="s">
        <v>331</v>
      </c>
      <c r="D51" s="208">
        <f>D35+D37+D39+D40+D41+D42+D43+D44+D46+D47</f>
        <v>253815.60499999998</v>
      </c>
      <c r="E51" s="292">
        <f>D51/$D$51*100</f>
        <v>100</v>
      </c>
      <c r="F51" s="208">
        <f>F35+F37+F39+F40+F41+F42+F43+F44+F46+F47</f>
        <v>273437.495</v>
      </c>
      <c r="G51" s="292">
        <f t="shared" si="11"/>
        <v>100</v>
      </c>
      <c r="H51" s="208">
        <f>H35+H37+H39+H40+H41+H42+H43+H44+H46+H47</f>
        <v>287254.14299999998</v>
      </c>
      <c r="I51" s="292">
        <f t="shared" si="12"/>
        <v>100</v>
      </c>
      <c r="J51" s="208">
        <f>J35+J37+J39+J40+J41+J42+J43+J44+J46+J47</f>
        <v>294629.16399999999</v>
      </c>
      <c r="K51" s="292">
        <f t="shared" si="13"/>
        <v>100</v>
      </c>
      <c r="L51" s="208">
        <f>L35+L37+L39+L40+L41+L42+L43+L44+L46+L47</f>
        <v>291074.27500000002</v>
      </c>
      <c r="M51" s="293">
        <f t="shared" si="14"/>
        <v>100</v>
      </c>
    </row>
    <row r="52" spans="2:15">
      <c r="D52" s="113"/>
      <c r="E52" s="113"/>
      <c r="F52" s="113"/>
      <c r="G52" s="113"/>
      <c r="H52" s="113"/>
      <c r="I52" s="113"/>
      <c r="J52" s="113"/>
      <c r="K52" s="113"/>
      <c r="L52" s="113"/>
    </row>
    <row r="53" spans="2:15">
      <c r="B53" s="16" t="s">
        <v>322</v>
      </c>
      <c r="D53" s="113"/>
      <c r="E53" s="113"/>
      <c r="F53" s="113"/>
      <c r="G53" s="113"/>
      <c r="H53" s="113"/>
      <c r="I53" s="113"/>
      <c r="J53" s="113"/>
      <c r="K53" s="113"/>
      <c r="L53" s="113"/>
    </row>
    <row r="54" spans="2:15">
      <c r="B54" s="176" t="s">
        <v>15</v>
      </c>
      <c r="C54" s="177" t="s">
        <v>16</v>
      </c>
      <c r="D54" s="193">
        <v>133900</v>
      </c>
      <c r="E54" s="295">
        <f>D54/$D$57*100</f>
        <v>67.723879073071018</v>
      </c>
      <c r="F54" s="193">
        <v>139788</v>
      </c>
      <c r="G54" s="295">
        <f>F54/$F$57*100</f>
        <v>65.861778888540783</v>
      </c>
      <c r="H54" s="193">
        <v>159790</v>
      </c>
      <c r="I54" s="295">
        <f>H54/$H$57*100</f>
        <v>65.148839371123017</v>
      </c>
      <c r="J54" s="193">
        <v>158259</v>
      </c>
      <c r="K54" s="295">
        <f>J54/$J$57*100</f>
        <v>62.143709048053985</v>
      </c>
      <c r="L54" s="193">
        <v>151370</v>
      </c>
      <c r="M54" s="293">
        <f>L54/$L$57*100</f>
        <v>60.030233235322029</v>
      </c>
    </row>
    <row r="55" spans="2:15">
      <c r="B55" s="176" t="s">
        <v>20</v>
      </c>
      <c r="C55" s="177" t="s">
        <v>21</v>
      </c>
      <c r="D55" s="179">
        <v>53818.604999999996</v>
      </c>
      <c r="E55" s="295">
        <f t="shared" ref="E55:E57" si="15">D55/$D$57*100</f>
        <v>27.220348744595778</v>
      </c>
      <c r="F55" s="179">
        <v>60111.495000000003</v>
      </c>
      <c r="G55" s="295">
        <f t="shared" ref="G55:G57" si="16">F55/$F$57*100</f>
        <v>28.321815837909014</v>
      </c>
      <c r="H55" s="179">
        <v>68458.142999999996</v>
      </c>
      <c r="I55" s="295">
        <f t="shared" ref="I55:I57" si="17">H55/$H$57*100</f>
        <v>27.911437273623939</v>
      </c>
      <c r="J55" s="179">
        <v>78262.164000000004</v>
      </c>
      <c r="K55" s="295">
        <f t="shared" ref="K55:K57" si="18">J55/$J$57*100</f>
        <v>30.731276888436582</v>
      </c>
      <c r="L55" s="179">
        <v>83665.274999999994</v>
      </c>
      <c r="M55" s="293">
        <f t="shared" ref="M55:M57" si="19">L55/$L$57*100</f>
        <v>33.17992978758906</v>
      </c>
    </row>
    <row r="56" spans="2:15">
      <c r="B56" s="176" t="s">
        <v>29</v>
      </c>
      <c r="C56" s="177" t="s">
        <v>30</v>
      </c>
      <c r="D56" s="179">
        <v>9996</v>
      </c>
      <c r="E56" s="295">
        <f t="shared" si="15"/>
        <v>5.0557721823332171</v>
      </c>
      <c r="F56" s="179">
        <v>12345</v>
      </c>
      <c r="G56" s="295">
        <f t="shared" si="16"/>
        <v>5.8164052735502052</v>
      </c>
      <c r="H56" s="179">
        <v>17021</v>
      </c>
      <c r="I56" s="295">
        <f t="shared" si="17"/>
        <v>6.93972335525305</v>
      </c>
      <c r="J56" s="179">
        <v>18145</v>
      </c>
      <c r="K56" s="295">
        <f t="shared" si="18"/>
        <v>7.1250140635094343</v>
      </c>
      <c r="L56" s="179">
        <v>17121</v>
      </c>
      <c r="M56" s="293">
        <f t="shared" si="19"/>
        <v>6.7898369770889104</v>
      </c>
    </row>
    <row r="57" spans="2:15">
      <c r="B57" s="81"/>
      <c r="C57" s="177" t="s">
        <v>323</v>
      </c>
      <c r="D57" s="189">
        <f>D54+D55+D56</f>
        <v>197714.60499999998</v>
      </c>
      <c r="E57" s="295">
        <f t="shared" si="15"/>
        <v>100</v>
      </c>
      <c r="F57" s="189">
        <f t="shared" ref="F57:L57" si="20">F54+F55+F56</f>
        <v>212244.495</v>
      </c>
      <c r="G57" s="295">
        <f t="shared" si="16"/>
        <v>100</v>
      </c>
      <c r="H57" s="189">
        <f t="shared" si="20"/>
        <v>245269.14299999998</v>
      </c>
      <c r="I57" s="295">
        <f t="shared" si="17"/>
        <v>100</v>
      </c>
      <c r="J57" s="189">
        <f t="shared" si="20"/>
        <v>254666.16399999999</v>
      </c>
      <c r="K57" s="295">
        <f t="shared" si="18"/>
        <v>100</v>
      </c>
      <c r="L57" s="189">
        <f t="shared" si="20"/>
        <v>252156.27499999999</v>
      </c>
      <c r="M57" s="293">
        <f t="shared" si="19"/>
        <v>100</v>
      </c>
    </row>
    <row r="59" spans="2:15">
      <c r="C59" s="194" t="s">
        <v>409</v>
      </c>
    </row>
    <row r="61" spans="2:15">
      <c r="D61">
        <v>2002</v>
      </c>
      <c r="E61">
        <v>2003</v>
      </c>
      <c r="F61">
        <v>2004</v>
      </c>
      <c r="G61">
        <v>2005</v>
      </c>
      <c r="H61">
        <v>2006</v>
      </c>
      <c r="L61" t="s">
        <v>324</v>
      </c>
    </row>
    <row r="62" spans="2:15">
      <c r="L62" t="s">
        <v>332</v>
      </c>
      <c r="O62" s="196">
        <f>((L29-D29)/D29)*100</f>
        <v>16.547002467379464</v>
      </c>
    </row>
    <row r="63" spans="2:15">
      <c r="L63" t="s">
        <v>333</v>
      </c>
      <c r="O63" s="196">
        <f>((L39-D39)/D39)*100</f>
        <v>55.457903451789583</v>
      </c>
    </row>
    <row r="91" spans="3:3">
      <c r="C91" s="16" t="s">
        <v>411</v>
      </c>
    </row>
  </sheetData>
  <mergeCells count="36">
    <mergeCell ref="J24:J25"/>
    <mergeCell ref="K24:K25"/>
    <mergeCell ref="L24:L25"/>
    <mergeCell ref="M24:M25"/>
    <mergeCell ref="B24:B25"/>
    <mergeCell ref="C24:C25"/>
    <mergeCell ref="M33:M34"/>
    <mergeCell ref="J33:J34"/>
    <mergeCell ref="L33:L34"/>
    <mergeCell ref="E33:E34"/>
    <mergeCell ref="G33:G34"/>
    <mergeCell ref="I33:I34"/>
    <mergeCell ref="K33:K34"/>
    <mergeCell ref="J3:J4"/>
    <mergeCell ref="K3:K4"/>
    <mergeCell ref="L3:L4"/>
    <mergeCell ref="M3:M4"/>
    <mergeCell ref="D3:D4"/>
    <mergeCell ref="E3:E4"/>
    <mergeCell ref="F3:F4"/>
    <mergeCell ref="G3:G4"/>
    <mergeCell ref="H3:H4"/>
    <mergeCell ref="C3:C4"/>
    <mergeCell ref="B3:B4"/>
    <mergeCell ref="C33:C34"/>
    <mergeCell ref="B33:B34"/>
    <mergeCell ref="I3:I4"/>
    <mergeCell ref="D33:D34"/>
    <mergeCell ref="F33:F34"/>
    <mergeCell ref="H33:H34"/>
    <mergeCell ref="D24:D25"/>
    <mergeCell ref="E24:E25"/>
    <mergeCell ref="F24:F25"/>
    <mergeCell ref="G24:G25"/>
    <mergeCell ref="H24:H25"/>
    <mergeCell ref="I24:I25"/>
  </mergeCells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1"/>
  <sheetViews>
    <sheetView workbookViewId="0">
      <selection activeCell="B15" sqref="B15"/>
    </sheetView>
  </sheetViews>
  <sheetFormatPr baseColWidth="10" defaultColWidth="8.83203125" defaultRowHeight="14" x14ac:dyDescent="0"/>
  <cols>
    <col min="2" max="2" width="27.6640625" customWidth="1"/>
    <col min="9" max="9" width="5.1640625" customWidth="1"/>
    <col min="10" max="10" width="26.1640625" customWidth="1"/>
  </cols>
  <sheetData>
    <row r="1" spans="2:20" ht="15" thickBot="1">
      <c r="B1" s="16" t="s">
        <v>412</v>
      </c>
      <c r="J1" s="16" t="s">
        <v>413</v>
      </c>
    </row>
    <row r="2" spans="2:20">
      <c r="B2" s="298" t="s">
        <v>250</v>
      </c>
      <c r="C2" s="299">
        <v>2002</v>
      </c>
      <c r="D2" s="299">
        <v>2003</v>
      </c>
      <c r="E2" s="299">
        <v>2004</v>
      </c>
      <c r="F2" s="299">
        <v>2005</v>
      </c>
      <c r="G2" s="300">
        <v>2006</v>
      </c>
      <c r="J2" s="359"/>
      <c r="K2" s="357" t="s">
        <v>279</v>
      </c>
      <c r="L2" s="357"/>
      <c r="M2" s="357" t="s">
        <v>280</v>
      </c>
      <c r="N2" s="357"/>
      <c r="O2" s="357" t="s">
        <v>281</v>
      </c>
      <c r="P2" s="357"/>
      <c r="Q2" s="357" t="s">
        <v>282</v>
      </c>
      <c r="R2" s="358"/>
    </row>
    <row r="3" spans="2:20">
      <c r="B3" s="120" t="s">
        <v>253</v>
      </c>
      <c r="C3" s="121">
        <v>69989</v>
      </c>
      <c r="D3" s="121">
        <v>77665</v>
      </c>
      <c r="E3" s="121">
        <v>89365</v>
      </c>
      <c r="F3" s="121">
        <v>101171</v>
      </c>
      <c r="G3" s="122">
        <v>110661</v>
      </c>
      <c r="J3" s="360"/>
      <c r="K3" s="301" t="s">
        <v>221</v>
      </c>
      <c r="L3" s="301" t="s">
        <v>222</v>
      </c>
      <c r="M3" s="301" t="s">
        <v>221</v>
      </c>
      <c r="N3" s="301" t="s">
        <v>222</v>
      </c>
      <c r="O3" s="301" t="s">
        <v>221</v>
      </c>
      <c r="P3" s="301" t="s">
        <v>222</v>
      </c>
      <c r="Q3" s="301" t="s">
        <v>221</v>
      </c>
      <c r="R3" s="302" t="s">
        <v>222</v>
      </c>
    </row>
    <row r="4" spans="2:20" ht="15" thickBot="1">
      <c r="B4" s="120" t="s">
        <v>254</v>
      </c>
      <c r="C4" s="121">
        <v>24827</v>
      </c>
      <c r="D4" s="121">
        <v>23242</v>
      </c>
      <c r="E4" s="121">
        <v>28193</v>
      </c>
      <c r="F4" s="121">
        <v>29162</v>
      </c>
      <c r="G4" s="122">
        <v>30189</v>
      </c>
      <c r="J4" s="116" t="s">
        <v>256</v>
      </c>
      <c r="K4" s="100">
        <f>(D6-C6)</f>
        <v>1239</v>
      </c>
      <c r="L4" s="284">
        <f>K4/ABS(C6)*100</f>
        <v>5.2865127789392838</v>
      </c>
      <c r="M4" s="100">
        <f>E6-D6</f>
        <v>12140</v>
      </c>
      <c r="N4" s="284">
        <f>M4/ABS(D6)*100</f>
        <v>49.197600907764624</v>
      </c>
      <c r="O4" s="100">
        <f>F6-E6</f>
        <v>15835</v>
      </c>
      <c r="P4" s="284">
        <f>O4/ABS(E6)*100</f>
        <v>43.01119078661452</v>
      </c>
      <c r="Q4" s="100">
        <f>G6-F6</f>
        <v>5675</v>
      </c>
      <c r="R4" s="285">
        <f>Q4/ABS(F6)*100</f>
        <v>10.778522725114433</v>
      </c>
    </row>
    <row r="5" spans="2:20">
      <c r="B5" s="120" t="s">
        <v>214</v>
      </c>
      <c r="C5" s="103">
        <v>21725</v>
      </c>
      <c r="D5" s="103">
        <v>29747</v>
      </c>
      <c r="E5" s="103">
        <v>24356</v>
      </c>
      <c r="F5" s="103">
        <v>19358</v>
      </c>
      <c r="G5" s="105">
        <v>22146</v>
      </c>
    </row>
    <row r="6" spans="2:20" ht="15" thickBot="1">
      <c r="B6" s="123" t="s">
        <v>255</v>
      </c>
      <c r="C6" s="124">
        <f>C3-C4-C5</f>
        <v>23437</v>
      </c>
      <c r="D6" s="124">
        <f t="shared" ref="D6:G6" si="0">D3-D4-D5</f>
        <v>24676</v>
      </c>
      <c r="E6" s="124">
        <f t="shared" si="0"/>
        <v>36816</v>
      </c>
      <c r="F6" s="124">
        <f t="shared" si="0"/>
        <v>52651</v>
      </c>
      <c r="G6" s="125">
        <f t="shared" si="0"/>
        <v>58326</v>
      </c>
      <c r="J6" s="16" t="s">
        <v>414</v>
      </c>
    </row>
    <row r="7" spans="2:20">
      <c r="B7" s="210"/>
      <c r="C7" s="213"/>
      <c r="D7" s="213"/>
      <c r="E7" s="213"/>
      <c r="F7" s="213"/>
      <c r="G7" s="213"/>
      <c r="J7" s="303"/>
      <c r="K7" s="361">
        <v>2002</v>
      </c>
      <c r="L7" s="361"/>
      <c r="M7" s="361">
        <v>2003</v>
      </c>
      <c r="N7" s="361"/>
      <c r="O7" s="361">
        <v>2004</v>
      </c>
      <c r="P7" s="361"/>
      <c r="Q7" s="361">
        <v>2005</v>
      </c>
      <c r="R7" s="361"/>
      <c r="S7" s="361">
        <v>2006</v>
      </c>
      <c r="T7" s="361"/>
    </row>
    <row r="8" spans="2:20">
      <c r="J8" s="304" t="s">
        <v>250</v>
      </c>
      <c r="K8" s="301" t="s">
        <v>221</v>
      </c>
      <c r="L8" s="301" t="s">
        <v>222</v>
      </c>
      <c r="M8" s="301" t="s">
        <v>221</v>
      </c>
      <c r="N8" s="301" t="s">
        <v>222</v>
      </c>
      <c r="O8" s="301" t="s">
        <v>221</v>
      </c>
      <c r="P8" s="301" t="s">
        <v>222</v>
      </c>
      <c r="Q8" s="301" t="s">
        <v>221</v>
      </c>
      <c r="R8" s="301" t="s">
        <v>222</v>
      </c>
      <c r="S8" s="301" t="s">
        <v>221</v>
      </c>
      <c r="T8" s="301" t="s">
        <v>222</v>
      </c>
    </row>
    <row r="9" spans="2:20" ht="15" thickBot="1">
      <c r="B9" t="s">
        <v>337</v>
      </c>
      <c r="J9" s="81" t="s">
        <v>286</v>
      </c>
      <c r="K9" s="189">
        <v>25104</v>
      </c>
      <c r="L9" s="293">
        <f>K9/$K$13*100</f>
        <v>35.868493620426065</v>
      </c>
      <c r="M9" s="189">
        <v>29283</v>
      </c>
      <c r="N9" s="293">
        <f>M9/$M$13*100</f>
        <v>37.704242580312879</v>
      </c>
      <c r="O9" s="189">
        <v>36662</v>
      </c>
      <c r="P9" s="293">
        <f>O9/$O$13*100</f>
        <v>41.025009791305322</v>
      </c>
      <c r="Q9" s="189">
        <v>43562</v>
      </c>
      <c r="R9" s="293">
        <f>Q9/$Q$13*100</f>
        <v>43.057793241146179</v>
      </c>
      <c r="S9" s="189">
        <v>45208</v>
      </c>
      <c r="T9" s="293">
        <f>S9/$S$13*100</f>
        <v>40.852694264465349</v>
      </c>
    </row>
    <row r="10" spans="2:20">
      <c r="B10" s="117" t="s">
        <v>250</v>
      </c>
      <c r="C10" s="118">
        <v>2002</v>
      </c>
      <c r="D10" s="118">
        <v>2003</v>
      </c>
      <c r="E10" s="118">
        <v>2004</v>
      </c>
      <c r="F10" s="118">
        <v>2005</v>
      </c>
      <c r="G10" s="119">
        <v>2006</v>
      </c>
      <c r="J10" s="81" t="s">
        <v>334</v>
      </c>
      <c r="K10" s="189">
        <v>238</v>
      </c>
      <c r="L10" s="293">
        <f t="shared" ref="L10:L13" si="1">K10/$K$13*100</f>
        <v>0.34005343696866652</v>
      </c>
      <c r="M10" s="189">
        <v>325</v>
      </c>
      <c r="N10" s="293">
        <f t="shared" ref="N10:N13" si="2">M10/$M$13*100</f>
        <v>0.41846391553466811</v>
      </c>
      <c r="O10" s="189">
        <v>363</v>
      </c>
      <c r="P10" s="293">
        <f t="shared" ref="P10:P13" si="3">O10/$O$13*100</f>
        <v>0.40619929502601687</v>
      </c>
      <c r="Q10" s="189">
        <v>245</v>
      </c>
      <c r="R10" s="293">
        <f t="shared" ref="R10:R13" si="4">Q10/$Q$13*100</f>
        <v>0.2421642565557324</v>
      </c>
      <c r="S10" s="189">
        <v>125</v>
      </c>
      <c r="T10" s="293">
        <f t="shared" ref="T10:T13" si="5">S10/$S$13*100</f>
        <v>0.11295759120195914</v>
      </c>
    </row>
    <row r="11" spans="2:20" ht="15" thickBot="1">
      <c r="B11" s="123" t="s">
        <v>255</v>
      </c>
      <c r="C11" s="155">
        <v>23437</v>
      </c>
      <c r="D11" s="155">
        <v>24676</v>
      </c>
      <c r="E11" s="155">
        <v>36816</v>
      </c>
      <c r="F11" s="155">
        <v>52651</v>
      </c>
      <c r="G11" s="156">
        <v>58326</v>
      </c>
      <c r="J11" s="81" t="s">
        <v>335</v>
      </c>
      <c r="K11" s="189">
        <v>26149</v>
      </c>
      <c r="L11" s="293">
        <f t="shared" si="1"/>
        <v>37.361585391990168</v>
      </c>
      <c r="M11" s="189">
        <v>29396</v>
      </c>
      <c r="N11" s="293">
        <f t="shared" si="2"/>
        <v>37.84973926479109</v>
      </c>
      <c r="O11" s="189">
        <v>37374</v>
      </c>
      <c r="P11" s="293">
        <f t="shared" si="3"/>
        <v>41.821742292843958</v>
      </c>
      <c r="Q11" s="189">
        <v>43095</v>
      </c>
      <c r="R11" s="293">
        <f t="shared" si="4"/>
        <v>42.596198515384842</v>
      </c>
      <c r="S11" s="189">
        <v>46209</v>
      </c>
      <c r="T11" s="293">
        <f t="shared" si="5"/>
        <v>41.757258654810634</v>
      </c>
    </row>
    <row r="12" spans="2:20">
      <c r="J12" s="81" t="s">
        <v>336</v>
      </c>
      <c r="K12" s="189">
        <v>18498</v>
      </c>
      <c r="L12" s="293">
        <f t="shared" si="1"/>
        <v>26.4298675506151</v>
      </c>
      <c r="M12" s="189">
        <v>18661</v>
      </c>
      <c r="N12" s="293">
        <f t="shared" si="2"/>
        <v>24.027554239361358</v>
      </c>
      <c r="O12" s="189">
        <v>14966</v>
      </c>
      <c r="P12" s="293">
        <f t="shared" si="3"/>
        <v>16.74704862082471</v>
      </c>
      <c r="Q12" s="189">
        <v>14269</v>
      </c>
      <c r="R12" s="293">
        <f t="shared" si="4"/>
        <v>14.103843986913244</v>
      </c>
      <c r="S12" s="189">
        <v>19119</v>
      </c>
      <c r="T12" s="293">
        <f t="shared" si="5"/>
        <v>17.277089489522055</v>
      </c>
    </row>
    <row r="13" spans="2:20">
      <c r="B13" s="113" t="s">
        <v>339</v>
      </c>
      <c r="C13" s="113"/>
      <c r="D13" s="113"/>
      <c r="E13" s="113"/>
      <c r="F13" s="113"/>
      <c r="G13" s="113"/>
      <c r="J13" s="81" t="s">
        <v>253</v>
      </c>
      <c r="K13" s="121">
        <v>69989</v>
      </c>
      <c r="L13" s="293">
        <f t="shared" si="1"/>
        <v>100</v>
      </c>
      <c r="M13" s="121">
        <v>77665</v>
      </c>
      <c r="N13" s="293">
        <f t="shared" si="2"/>
        <v>100</v>
      </c>
      <c r="O13" s="121">
        <v>89365</v>
      </c>
      <c r="P13" s="293">
        <f t="shared" si="3"/>
        <v>100</v>
      </c>
      <c r="Q13" s="121">
        <v>101171</v>
      </c>
      <c r="R13" s="293">
        <f t="shared" si="4"/>
        <v>100</v>
      </c>
      <c r="S13" s="121">
        <v>110661</v>
      </c>
      <c r="T13" s="293">
        <f t="shared" si="5"/>
        <v>100</v>
      </c>
    </row>
    <row r="14" spans="2:20">
      <c r="B14" s="214" t="s">
        <v>449</v>
      </c>
      <c r="C14" s="215">
        <f>((G6-C6)/C6)*100</f>
        <v>148.86290907539362</v>
      </c>
      <c r="D14" s="210"/>
      <c r="E14" s="210"/>
      <c r="F14" s="210"/>
      <c r="G14" s="210"/>
    </row>
    <row r="15" spans="2:20">
      <c r="B15" s="113"/>
      <c r="C15" s="211"/>
      <c r="D15" s="211"/>
      <c r="E15" s="211"/>
      <c r="F15" s="211"/>
      <c r="G15" s="211"/>
    </row>
    <row r="16" spans="2:20">
      <c r="B16" s="113"/>
      <c r="C16" s="211"/>
      <c r="D16" s="211"/>
      <c r="E16" s="211"/>
      <c r="F16" s="211"/>
      <c r="G16" s="211"/>
      <c r="J16" s="16" t="s">
        <v>415</v>
      </c>
    </row>
    <row r="17" spans="2:7">
      <c r="B17" s="305" t="s">
        <v>338</v>
      </c>
      <c r="C17" s="211"/>
      <c r="D17" s="211"/>
      <c r="E17" s="211"/>
      <c r="F17" s="211"/>
      <c r="G17" s="211"/>
    </row>
    <row r="18" spans="2:7">
      <c r="B18" s="113"/>
      <c r="C18" s="211"/>
      <c r="D18" s="211"/>
      <c r="E18" s="211"/>
      <c r="F18" s="211"/>
      <c r="G18" s="211"/>
    </row>
    <row r="19" spans="2:7">
      <c r="B19" s="113"/>
      <c r="C19" s="212"/>
      <c r="D19" s="212"/>
      <c r="E19" s="212"/>
      <c r="F19" s="212"/>
      <c r="G19" s="212"/>
    </row>
    <row r="43" spans="2:2">
      <c r="B43" t="s">
        <v>338</v>
      </c>
    </row>
    <row r="49" spans="5:20">
      <c r="J49" s="16" t="s">
        <v>416</v>
      </c>
    </row>
    <row r="50" spans="5:20">
      <c r="J50" s="303"/>
      <c r="K50" s="361">
        <v>2002</v>
      </c>
      <c r="L50" s="361"/>
      <c r="M50" s="361">
        <v>2003</v>
      </c>
      <c r="N50" s="361"/>
      <c r="O50" s="361">
        <v>2004</v>
      </c>
      <c r="P50" s="361"/>
      <c r="Q50" s="361">
        <v>2005</v>
      </c>
      <c r="R50" s="361"/>
      <c r="S50" s="361">
        <v>2006</v>
      </c>
      <c r="T50" s="361"/>
    </row>
    <row r="51" spans="5:20">
      <c r="J51" s="304" t="s">
        <v>250</v>
      </c>
      <c r="K51" s="301" t="s">
        <v>221</v>
      </c>
      <c r="L51" s="301" t="s">
        <v>222</v>
      </c>
      <c r="M51" s="301" t="s">
        <v>221</v>
      </c>
      <c r="N51" s="301" t="s">
        <v>222</v>
      </c>
      <c r="O51" s="301" t="s">
        <v>221</v>
      </c>
      <c r="P51" s="301" t="s">
        <v>222</v>
      </c>
      <c r="Q51" s="301" t="s">
        <v>221</v>
      </c>
      <c r="R51" s="301" t="s">
        <v>222</v>
      </c>
      <c r="S51" s="301" t="s">
        <v>221</v>
      </c>
      <c r="T51" s="301" t="s">
        <v>222</v>
      </c>
    </row>
    <row r="52" spans="5:20">
      <c r="J52" s="81" t="s">
        <v>139</v>
      </c>
      <c r="K52" s="216">
        <v>6935</v>
      </c>
      <c r="L52" s="293">
        <f>K52/$K$56*100</f>
        <v>27.62507966857871</v>
      </c>
      <c r="M52" s="216">
        <v>10212</v>
      </c>
      <c r="N52" s="293">
        <f>M52/$M$56*100</f>
        <v>34.87347607827067</v>
      </c>
      <c r="O52" s="216">
        <v>8623</v>
      </c>
      <c r="P52" s="293">
        <f>O52/$O$56*100</f>
        <v>23.522191003573475</v>
      </c>
      <c r="Q52" s="216">
        <v>9428</v>
      </c>
      <c r="R52" s="293">
        <f>Q52/$Q$56*100</f>
        <v>21.642716128736055</v>
      </c>
      <c r="S52" s="216">
        <v>13126</v>
      </c>
      <c r="T52" s="293">
        <f>S52/$S$56*100</f>
        <v>29.034684126703237</v>
      </c>
    </row>
    <row r="53" spans="5:20">
      <c r="J53" s="81" t="s">
        <v>340</v>
      </c>
      <c r="K53" s="216">
        <v>3125</v>
      </c>
      <c r="L53" s="293">
        <f>K53/$K$56*100</f>
        <v>12.448215423836839</v>
      </c>
      <c r="M53" s="216">
        <v>3421</v>
      </c>
      <c r="N53" s="293">
        <f t="shared" ref="N53:N56" si="6">M53/$M$56*100</f>
        <v>11.682546187207594</v>
      </c>
      <c r="O53" s="216">
        <v>3936</v>
      </c>
      <c r="P53" s="293">
        <f t="shared" ref="P53:P56" si="7">O53/$O$56*100</f>
        <v>10.736790419815053</v>
      </c>
      <c r="Q53" s="216">
        <v>3983</v>
      </c>
      <c r="R53" s="293">
        <f t="shared" ref="R53:R56" si="8">Q53/$Q$56*100</f>
        <v>9.1432900234149024</v>
      </c>
      <c r="S53" s="216">
        <v>4111</v>
      </c>
      <c r="T53" s="293">
        <f t="shared" ref="T53:T56" si="9">S53/$S$56*100</f>
        <v>9.0935232702176592</v>
      </c>
    </row>
    <row r="54" spans="5:20">
      <c r="J54" s="81" t="s">
        <v>141</v>
      </c>
      <c r="K54" s="216">
        <v>7121</v>
      </c>
      <c r="L54" s="293">
        <f>K54/$K$56*100</f>
        <v>28.36599745060548</v>
      </c>
      <c r="M54" s="216">
        <v>7325</v>
      </c>
      <c r="N54" s="293">
        <f t="shared" si="6"/>
        <v>25.014513540279342</v>
      </c>
      <c r="O54" s="216">
        <v>11983</v>
      </c>
      <c r="P54" s="293">
        <f t="shared" si="7"/>
        <v>32.687743800976563</v>
      </c>
      <c r="Q54" s="216">
        <v>15516</v>
      </c>
      <c r="R54" s="293">
        <f t="shared" si="8"/>
        <v>35.618199348055647</v>
      </c>
      <c r="S54" s="216">
        <v>13428</v>
      </c>
      <c r="T54" s="293">
        <f t="shared" si="9"/>
        <v>29.702707485400815</v>
      </c>
    </row>
    <row r="55" spans="5:20">
      <c r="J55" s="81" t="s">
        <v>143</v>
      </c>
      <c r="K55" s="103">
        <v>7923</v>
      </c>
      <c r="L55" s="293">
        <f>K55/$K$56*100</f>
        <v>31.560707456978964</v>
      </c>
      <c r="M55" s="216">
        <v>8325</v>
      </c>
      <c r="N55" s="293">
        <f t="shared" si="6"/>
        <v>28.429464194242392</v>
      </c>
      <c r="O55" s="103">
        <v>12117</v>
      </c>
      <c r="P55" s="293">
        <f t="shared" si="7"/>
        <v>33.053274775634904</v>
      </c>
      <c r="Q55" s="216">
        <v>14635</v>
      </c>
      <c r="R55" s="293">
        <f t="shared" si="8"/>
        <v>33.595794499793399</v>
      </c>
      <c r="S55" s="216">
        <v>14543</v>
      </c>
      <c r="T55" s="293">
        <f t="shared" si="9"/>
        <v>32.169085117678286</v>
      </c>
    </row>
    <row r="56" spans="5:20">
      <c r="J56" s="81" t="s">
        <v>341</v>
      </c>
      <c r="K56" s="121">
        <f>SUM(K52:K55)</f>
        <v>25104</v>
      </c>
      <c r="L56" s="293">
        <f t="shared" ref="L56" si="10">K56/$K$56*100</f>
        <v>100</v>
      </c>
      <c r="M56" s="121">
        <f>SUM(M52:M55)</f>
        <v>29283</v>
      </c>
      <c r="N56" s="293">
        <f t="shared" si="6"/>
        <v>100</v>
      </c>
      <c r="O56" s="121">
        <f>SUM(O52:O55)</f>
        <v>36659</v>
      </c>
      <c r="P56" s="293">
        <f t="shared" si="7"/>
        <v>100</v>
      </c>
      <c r="Q56" s="121">
        <f>SUM(Q52:Q55)</f>
        <v>43562</v>
      </c>
      <c r="R56" s="293">
        <f t="shared" si="8"/>
        <v>100</v>
      </c>
      <c r="S56" s="121">
        <f>SUM(S52:S55)</f>
        <v>45208</v>
      </c>
      <c r="T56" s="293">
        <f t="shared" si="9"/>
        <v>100</v>
      </c>
    </row>
    <row r="58" spans="5:20">
      <c r="J58" s="16" t="s">
        <v>417</v>
      </c>
    </row>
    <row r="59" spans="5:20">
      <c r="E59" t="s">
        <v>339</v>
      </c>
    </row>
    <row r="60" spans="5:20">
      <c r="E60" t="s">
        <v>342</v>
      </c>
    </row>
    <row r="61" spans="5:20">
      <c r="E61" s="196">
        <f>((K52+M52+O52+Q52+S52)/(K56+M56+O56+Q56+S56))*100</f>
        <v>26.874138007741244</v>
      </c>
    </row>
  </sheetData>
  <mergeCells count="15">
    <mergeCell ref="K50:L50"/>
    <mergeCell ref="M50:N50"/>
    <mergeCell ref="O50:P50"/>
    <mergeCell ref="Q50:R50"/>
    <mergeCell ref="S50:T50"/>
    <mergeCell ref="S7:T7"/>
    <mergeCell ref="K7:L7"/>
    <mergeCell ref="M7:N7"/>
    <mergeCell ref="O7:P7"/>
    <mergeCell ref="Q7:R7"/>
    <mergeCell ref="O2:P2"/>
    <mergeCell ref="Q2:R2"/>
    <mergeCell ref="J2:J3"/>
    <mergeCell ref="K2:L2"/>
    <mergeCell ref="M2:N2"/>
  </mergeCells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0"/>
  <sheetViews>
    <sheetView workbookViewId="0">
      <selection activeCell="L72" sqref="L72"/>
    </sheetView>
  </sheetViews>
  <sheetFormatPr baseColWidth="10" defaultColWidth="8.83203125" defaultRowHeight="14" x14ac:dyDescent="0"/>
  <cols>
    <col min="14" max="14" width="19.33203125" customWidth="1"/>
  </cols>
  <sheetData>
    <row r="1" spans="2:9">
      <c r="B1" s="16" t="s">
        <v>421</v>
      </c>
    </row>
    <row r="2" spans="2:9" ht="15" thickBot="1"/>
    <row r="3" spans="2:9">
      <c r="B3" s="371" t="s">
        <v>250</v>
      </c>
      <c r="C3" s="372"/>
      <c r="D3" s="373"/>
      <c r="E3" s="252">
        <v>2002</v>
      </c>
      <c r="F3" s="252">
        <v>2003</v>
      </c>
      <c r="G3" s="252">
        <v>2004</v>
      </c>
      <c r="H3" s="252">
        <v>2005</v>
      </c>
      <c r="I3" s="253">
        <v>2006</v>
      </c>
    </row>
    <row r="4" spans="2:9">
      <c r="B4" s="374" t="s">
        <v>270</v>
      </c>
      <c r="C4" s="365"/>
      <c r="D4" s="365"/>
      <c r="E4" s="121">
        <v>152051</v>
      </c>
      <c r="F4" s="121">
        <v>193207</v>
      </c>
      <c r="G4" s="121">
        <v>211870</v>
      </c>
      <c r="H4" s="121">
        <v>220505</v>
      </c>
      <c r="I4" s="122">
        <v>241980</v>
      </c>
    </row>
    <row r="5" spans="2:9">
      <c r="B5" s="374" t="s">
        <v>268</v>
      </c>
      <c r="C5" s="365"/>
      <c r="D5" s="365"/>
      <c r="E5" s="121">
        <v>95258.395000000004</v>
      </c>
      <c r="F5" s="121">
        <v>119053.505</v>
      </c>
      <c r="G5" s="121">
        <v>134771.85700000002</v>
      </c>
      <c r="H5" s="121">
        <v>154213.83600000001</v>
      </c>
      <c r="I5" s="122">
        <v>163022.72500000001</v>
      </c>
    </row>
    <row r="6" spans="2:9">
      <c r="B6" s="374" t="s">
        <v>305</v>
      </c>
      <c r="C6" s="365"/>
      <c r="D6" s="365"/>
      <c r="E6" s="121">
        <f>E7+E8</f>
        <v>8070</v>
      </c>
      <c r="F6" s="121">
        <f t="shared" ref="F6:I6" si="0">F7+F8</f>
        <v>19663</v>
      </c>
      <c r="G6" s="121">
        <f t="shared" si="0"/>
        <v>23155</v>
      </c>
      <c r="H6" s="121">
        <f t="shared" si="0"/>
        <v>15922</v>
      </c>
      <c r="I6" s="122">
        <f t="shared" si="0"/>
        <v>25506</v>
      </c>
    </row>
    <row r="7" spans="2:9">
      <c r="B7" s="374" t="s">
        <v>300</v>
      </c>
      <c r="C7" s="365"/>
      <c r="D7" s="365"/>
      <c r="E7" s="121">
        <v>3235</v>
      </c>
      <c r="F7" s="121">
        <v>4428</v>
      </c>
      <c r="G7" s="121">
        <v>4949</v>
      </c>
      <c r="H7" s="121">
        <v>5739</v>
      </c>
      <c r="I7" s="122">
        <v>6574</v>
      </c>
    </row>
    <row r="8" spans="2:9">
      <c r="B8" s="374" t="s">
        <v>304</v>
      </c>
      <c r="C8" s="365"/>
      <c r="D8" s="365"/>
      <c r="E8" s="121">
        <v>4835</v>
      </c>
      <c r="F8" s="121">
        <v>15235</v>
      </c>
      <c r="G8" s="121">
        <v>18206</v>
      </c>
      <c r="H8" s="121">
        <v>10183</v>
      </c>
      <c r="I8" s="122">
        <v>18932</v>
      </c>
    </row>
    <row r="9" spans="2:9">
      <c r="B9" s="374" t="s">
        <v>301</v>
      </c>
      <c r="C9" s="365"/>
      <c r="D9" s="365"/>
      <c r="E9" s="193">
        <v>267163</v>
      </c>
      <c r="F9" s="193">
        <v>269870</v>
      </c>
      <c r="G9" s="193">
        <v>296280</v>
      </c>
      <c r="H9" s="193">
        <v>314401</v>
      </c>
      <c r="I9" s="218">
        <v>308858</v>
      </c>
    </row>
    <row r="10" spans="2:9">
      <c r="B10" s="374" t="s">
        <v>303</v>
      </c>
      <c r="C10" s="365"/>
      <c r="D10" s="365"/>
      <c r="E10" s="193">
        <v>257510.60499999998</v>
      </c>
      <c r="F10" s="193">
        <v>274730.495</v>
      </c>
      <c r="G10" s="193">
        <v>287796.14299999998</v>
      </c>
      <c r="H10" s="193">
        <v>293903.16399999999</v>
      </c>
      <c r="I10" s="218">
        <v>291167.27500000002</v>
      </c>
    </row>
    <row r="11" spans="2:9">
      <c r="B11" s="364" t="s">
        <v>271</v>
      </c>
      <c r="C11" s="365"/>
      <c r="D11" s="365"/>
      <c r="E11" s="193">
        <v>38446.395000000004</v>
      </c>
      <c r="F11" s="193">
        <v>33423.505000000005</v>
      </c>
      <c r="G11" s="193">
        <v>26651.857000000004</v>
      </c>
      <c r="H11" s="193">
        <v>35997.835999999996</v>
      </c>
      <c r="I11" s="218">
        <v>25126.725000000006</v>
      </c>
    </row>
    <row r="12" spans="2:9" ht="15" thickBot="1">
      <c r="B12" s="375" t="s">
        <v>302</v>
      </c>
      <c r="C12" s="367"/>
      <c r="D12" s="367"/>
      <c r="E12" s="191">
        <v>26706.395000000004</v>
      </c>
      <c r="F12" s="191">
        <v>24700.505000000005</v>
      </c>
      <c r="G12" s="191">
        <v>20331.857000000004</v>
      </c>
      <c r="H12" s="191">
        <v>27043.835999999996</v>
      </c>
      <c r="I12" s="192">
        <v>19483.725000000006</v>
      </c>
    </row>
    <row r="13" spans="2:9">
      <c r="B13" s="362" t="s">
        <v>295</v>
      </c>
      <c r="C13" s="363"/>
      <c r="D13" s="363"/>
      <c r="E13" s="224">
        <f>E11/E4*100</f>
        <v>25.285197072035043</v>
      </c>
      <c r="F13" s="224">
        <f t="shared" ref="F13:I13" si="1">F11/F4*100</f>
        <v>17.299324041054415</v>
      </c>
      <c r="G13" s="224">
        <f t="shared" si="1"/>
        <v>12.579344409307597</v>
      </c>
      <c r="H13" s="224">
        <f t="shared" si="1"/>
        <v>16.32517902088388</v>
      </c>
      <c r="I13" s="224">
        <f t="shared" si="1"/>
        <v>10.383802380362015</v>
      </c>
    </row>
    <row r="14" spans="2:9">
      <c r="B14" s="364" t="s">
        <v>296</v>
      </c>
      <c r="C14" s="365"/>
      <c r="D14" s="365"/>
      <c r="E14" s="221">
        <f>E12/E5*100</f>
        <v>28.035739002321009</v>
      </c>
      <c r="F14" s="221">
        <f t="shared" ref="F14:I14" si="2">F12/F5*100</f>
        <v>20.747398407127957</v>
      </c>
      <c r="G14" s="221">
        <f t="shared" si="2"/>
        <v>15.08612959158083</v>
      </c>
      <c r="H14" s="221">
        <f t="shared" si="2"/>
        <v>17.536582126132956</v>
      </c>
      <c r="I14" s="221">
        <f t="shared" si="2"/>
        <v>11.95153927159542</v>
      </c>
    </row>
    <row r="15" spans="2:9">
      <c r="B15" s="364" t="s">
        <v>297</v>
      </c>
      <c r="C15" s="365"/>
      <c r="D15" s="365"/>
      <c r="E15" s="221">
        <f>E12/(E5+E6)*100</f>
        <v>25.846133582158132</v>
      </c>
      <c r="F15" s="221">
        <f t="shared" ref="F15:I15" si="3">F12/(F5+F6)*100</f>
        <v>17.806464342509209</v>
      </c>
      <c r="G15" s="221">
        <f t="shared" si="3"/>
        <v>12.87422379336024</v>
      </c>
      <c r="H15" s="221">
        <f t="shared" si="3"/>
        <v>15.895437807705601</v>
      </c>
      <c r="I15" s="221">
        <f t="shared" si="3"/>
        <v>10.334618769633117</v>
      </c>
    </row>
    <row r="16" spans="2:9">
      <c r="B16" s="368" t="s">
        <v>298</v>
      </c>
      <c r="C16" s="369"/>
      <c r="D16" s="370"/>
      <c r="E16" s="306">
        <f>E11/E9*100</f>
        <v>14.390613595445478</v>
      </c>
      <c r="F16" s="306">
        <f t="shared" ref="F16:I16" si="4">F11/F9*100</f>
        <v>12.385039092896582</v>
      </c>
      <c r="G16" s="306">
        <f t="shared" si="4"/>
        <v>8.9954964898069409</v>
      </c>
      <c r="H16" s="306">
        <f t="shared" si="4"/>
        <v>11.449656966739926</v>
      </c>
      <c r="I16" s="306">
        <f t="shared" si="4"/>
        <v>8.1353647954723556</v>
      </c>
    </row>
    <row r="17" spans="2:15" ht="15" thickBot="1">
      <c r="B17" s="366" t="s">
        <v>299</v>
      </c>
      <c r="C17" s="367"/>
      <c r="D17" s="367"/>
      <c r="E17" s="307">
        <f>E12/E10*100</f>
        <v>10.370988410360811</v>
      </c>
      <c r="F17" s="307">
        <f t="shared" ref="F17:I17" si="5">F12/F10*100</f>
        <v>8.9908129783699504</v>
      </c>
      <c r="G17" s="307">
        <f t="shared" si="5"/>
        <v>7.0646732051582797</v>
      </c>
      <c r="H17" s="307">
        <f t="shared" si="5"/>
        <v>9.2016144474034984</v>
      </c>
      <c r="I17" s="307">
        <f t="shared" si="5"/>
        <v>6.6915916289012918</v>
      </c>
    </row>
    <row r="20" spans="2:15">
      <c r="B20" s="16" t="s">
        <v>422</v>
      </c>
    </row>
    <row r="25" spans="2:15" ht="15" thickBot="1">
      <c r="N25" s="16" t="s">
        <v>423</v>
      </c>
    </row>
    <row r="26" spans="2:15" ht="15" thickBot="1">
      <c r="N26" s="308" t="s">
        <v>250</v>
      </c>
      <c r="O26" s="309" t="s">
        <v>222</v>
      </c>
    </row>
    <row r="27" spans="2:15">
      <c r="N27" s="81" t="s">
        <v>270</v>
      </c>
      <c r="O27" s="162">
        <f>(I4-E4)/E4*100</f>
        <v>59.143971430638409</v>
      </c>
    </row>
    <row r="28" spans="2:15">
      <c r="N28" s="81" t="s">
        <v>268</v>
      </c>
      <c r="O28" s="162">
        <f>(I5-E5)/E5*100</f>
        <v>71.137383744498322</v>
      </c>
    </row>
    <row r="29" spans="2:15">
      <c r="N29" s="81" t="s">
        <v>305</v>
      </c>
      <c r="O29" s="162">
        <f>(I6-E6)/E6*100</f>
        <v>216.05947955390334</v>
      </c>
    </row>
    <row r="30" spans="2:15">
      <c r="N30" s="81" t="s">
        <v>301</v>
      </c>
      <c r="O30" s="162">
        <f t="shared" ref="O30:O38" si="6">(I9-E9)/E9*100</f>
        <v>15.606577258078403</v>
      </c>
    </row>
    <row r="31" spans="2:15">
      <c r="N31" s="81" t="s">
        <v>303</v>
      </c>
      <c r="O31" s="162">
        <f t="shared" si="6"/>
        <v>13.070013174797227</v>
      </c>
    </row>
    <row r="32" spans="2:15">
      <c r="N32" s="81" t="s">
        <v>271</v>
      </c>
      <c r="O32" s="162">
        <f t="shared" si="6"/>
        <v>-34.644782690288636</v>
      </c>
    </row>
    <row r="33" spans="2:15">
      <c r="N33" s="81" t="s">
        <v>302</v>
      </c>
      <c r="O33" s="162">
        <f t="shared" si="6"/>
        <v>-27.044720936689497</v>
      </c>
    </row>
    <row r="34" spans="2:15">
      <c r="N34" s="81" t="s">
        <v>295</v>
      </c>
      <c r="O34" s="162">
        <f t="shared" si="6"/>
        <v>-58.933274869167192</v>
      </c>
    </row>
    <row r="35" spans="2:15">
      <c r="N35" s="81" t="s">
        <v>296</v>
      </c>
      <c r="O35" s="162">
        <f t="shared" si="6"/>
        <v>-57.370343365637751</v>
      </c>
    </row>
    <row r="36" spans="2:15">
      <c r="N36" s="81" t="s">
        <v>297</v>
      </c>
      <c r="O36" s="162">
        <f t="shared" si="6"/>
        <v>-60.014836506272573</v>
      </c>
    </row>
    <row r="37" spans="2:15">
      <c r="N37" s="81" t="s">
        <v>298</v>
      </c>
      <c r="O37" s="162">
        <f t="shared" si="6"/>
        <v>-43.467561396776446</v>
      </c>
    </row>
    <row r="38" spans="2:15">
      <c r="N38" s="81" t="s">
        <v>299</v>
      </c>
      <c r="O38" s="162">
        <f t="shared" si="6"/>
        <v>-35.47778317622776</v>
      </c>
    </row>
    <row r="47" spans="2:15">
      <c r="B47" s="16" t="s">
        <v>424</v>
      </c>
      <c r="M47" s="16" t="s">
        <v>425</v>
      </c>
    </row>
    <row r="80" spans="2:13">
      <c r="B80" s="16" t="s">
        <v>426</v>
      </c>
      <c r="M80" s="16" t="s">
        <v>427</v>
      </c>
    </row>
  </sheetData>
  <mergeCells count="15">
    <mergeCell ref="B12:D12"/>
    <mergeCell ref="B10:D10"/>
    <mergeCell ref="B7:D7"/>
    <mergeCell ref="B8:D8"/>
    <mergeCell ref="B11:D11"/>
    <mergeCell ref="B3:D3"/>
    <mergeCell ref="B4:D4"/>
    <mergeCell ref="B5:D5"/>
    <mergeCell ref="B6:D6"/>
    <mergeCell ref="B9:D9"/>
    <mergeCell ref="B13:D13"/>
    <mergeCell ref="B14:D14"/>
    <mergeCell ref="B15:D15"/>
    <mergeCell ref="B17:D17"/>
    <mergeCell ref="B16:D16"/>
  </mergeCells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6"/>
  <sheetViews>
    <sheetView tabSelected="1" workbookViewId="0">
      <selection activeCell="E22" sqref="E22"/>
    </sheetView>
  </sheetViews>
  <sheetFormatPr baseColWidth="10" defaultColWidth="8.83203125" defaultRowHeight="14" x14ac:dyDescent="0"/>
  <cols>
    <col min="6" max="6" width="11.33203125" customWidth="1"/>
    <col min="8" max="8" width="11.33203125" customWidth="1"/>
    <col min="9" max="9" width="12.33203125" customWidth="1"/>
  </cols>
  <sheetData>
    <row r="2" spans="2:16">
      <c r="B2" s="16" t="s">
        <v>276</v>
      </c>
      <c r="K2" t="s">
        <v>229</v>
      </c>
    </row>
    <row r="3" spans="2:16" ht="27" customHeight="1">
      <c r="B3" s="376" t="s">
        <v>260</v>
      </c>
      <c r="C3" s="376" t="s">
        <v>261</v>
      </c>
      <c r="D3" s="376" t="s">
        <v>268</v>
      </c>
      <c r="E3" s="376" t="s">
        <v>275</v>
      </c>
      <c r="F3" s="376" t="s">
        <v>269</v>
      </c>
      <c r="G3" s="376" t="s">
        <v>265</v>
      </c>
      <c r="H3" s="376" t="s">
        <v>266</v>
      </c>
      <c r="I3" s="376" t="s">
        <v>267</v>
      </c>
      <c r="K3" t="s">
        <v>389</v>
      </c>
      <c r="P3" s="196">
        <f>AVERAGE(E15:I15)</f>
        <v>34.665516162773393</v>
      </c>
    </row>
    <row r="4" spans="2:16" ht="21" customHeight="1">
      <c r="B4" s="377"/>
      <c r="C4" s="377"/>
      <c r="D4" s="377"/>
      <c r="E4" s="377"/>
      <c r="F4" s="377"/>
      <c r="G4" s="377"/>
      <c r="H4" s="377"/>
      <c r="I4" s="377"/>
      <c r="K4" t="s">
        <v>390</v>
      </c>
      <c r="P4" s="196">
        <f>AVERAGE(E16:I16)</f>
        <v>53.650592017505254</v>
      </c>
    </row>
    <row r="5" spans="2:16">
      <c r="B5" s="320" t="s">
        <v>262</v>
      </c>
      <c r="C5" s="320">
        <v>4000</v>
      </c>
      <c r="D5" s="320">
        <v>4000</v>
      </c>
      <c r="E5" s="320" t="s">
        <v>263</v>
      </c>
      <c r="F5" s="320">
        <f>0.1*C5</f>
        <v>400</v>
      </c>
      <c r="G5" s="320" t="s">
        <v>263</v>
      </c>
      <c r="H5" s="320">
        <f>F5</f>
        <v>400</v>
      </c>
      <c r="I5" s="321">
        <f>H5/D5</f>
        <v>0.1</v>
      </c>
    </row>
    <row r="6" spans="2:16">
      <c r="B6" s="320" t="s">
        <v>264</v>
      </c>
      <c r="C6" s="320">
        <v>4000</v>
      </c>
      <c r="D6" s="320">
        <v>1000</v>
      </c>
      <c r="E6" s="320">
        <v>3000</v>
      </c>
      <c r="F6" s="320">
        <f>0.1*C6</f>
        <v>400</v>
      </c>
      <c r="G6" s="320">
        <f>0.05*E6</f>
        <v>150</v>
      </c>
      <c r="H6" s="320">
        <f>F6-G6</f>
        <v>250</v>
      </c>
      <c r="I6" s="321">
        <f>H6/D6</f>
        <v>0.25</v>
      </c>
    </row>
    <row r="8" spans="2:16" ht="15" thickBot="1">
      <c r="B8" s="16" t="s">
        <v>430</v>
      </c>
    </row>
    <row r="9" spans="2:16" ht="15" thickBot="1">
      <c r="B9" s="380" t="s">
        <v>250</v>
      </c>
      <c r="C9" s="381"/>
      <c r="D9" s="381"/>
      <c r="E9" s="167">
        <v>2002</v>
      </c>
      <c r="F9" s="167">
        <v>2003</v>
      </c>
      <c r="G9" s="167">
        <v>2004</v>
      </c>
      <c r="H9" s="167">
        <v>2005</v>
      </c>
      <c r="I9" s="168">
        <v>2006</v>
      </c>
    </row>
    <row r="10" spans="2:16">
      <c r="B10" s="382" t="s">
        <v>270</v>
      </c>
      <c r="C10" s="383"/>
      <c r="D10" s="383"/>
      <c r="E10" s="165">
        <v>152051</v>
      </c>
      <c r="F10" s="165">
        <v>193207</v>
      </c>
      <c r="G10" s="165">
        <v>211870</v>
      </c>
      <c r="H10" s="165">
        <v>220505</v>
      </c>
      <c r="I10" s="166">
        <v>241980</v>
      </c>
    </row>
    <row r="11" spans="2:16">
      <c r="B11" s="374" t="s">
        <v>268</v>
      </c>
      <c r="C11" s="379"/>
      <c r="D11" s="379"/>
      <c r="E11" s="121">
        <v>95258.395000000004</v>
      </c>
      <c r="F11" s="121">
        <v>119053.505</v>
      </c>
      <c r="G11" s="121">
        <v>134771.85700000002</v>
      </c>
      <c r="H11" s="121">
        <v>154213.83600000001</v>
      </c>
      <c r="I11" s="122">
        <v>163022.72500000001</v>
      </c>
    </row>
    <row r="12" spans="2:16">
      <c r="B12" s="374" t="s">
        <v>275</v>
      </c>
      <c r="C12" s="379"/>
      <c r="D12" s="379"/>
      <c r="E12" s="121">
        <v>56077</v>
      </c>
      <c r="F12" s="121">
        <v>73764</v>
      </c>
      <c r="G12" s="121">
        <v>76689</v>
      </c>
      <c r="H12" s="121">
        <v>65287</v>
      </c>
      <c r="I12" s="122">
        <v>78557</v>
      </c>
    </row>
    <row r="13" spans="2:16">
      <c r="B13" s="374" t="s">
        <v>271</v>
      </c>
      <c r="C13" s="379"/>
      <c r="D13" s="379"/>
      <c r="E13" s="164">
        <f>E22</f>
        <v>38446.395000000004</v>
      </c>
      <c r="F13" s="164">
        <f t="shared" ref="F13:I13" si="0">F22</f>
        <v>33423.505000000005</v>
      </c>
      <c r="G13" s="164">
        <f t="shared" si="0"/>
        <v>26651.857000000004</v>
      </c>
      <c r="H13" s="164">
        <f t="shared" si="0"/>
        <v>35997.835999999996</v>
      </c>
      <c r="I13" s="164">
        <f t="shared" si="0"/>
        <v>25126.725000000006</v>
      </c>
    </row>
    <row r="14" spans="2:16" ht="15" thickBot="1">
      <c r="B14" s="384" t="s">
        <v>72</v>
      </c>
      <c r="C14" s="385"/>
      <c r="D14" s="385"/>
      <c r="E14" s="227">
        <v>1933</v>
      </c>
      <c r="F14" s="227">
        <v>1302</v>
      </c>
      <c r="G14" s="227">
        <v>1495</v>
      </c>
      <c r="H14" s="227">
        <v>1021</v>
      </c>
      <c r="I14" s="228">
        <v>1222</v>
      </c>
    </row>
    <row r="15" spans="2:16">
      <c r="B15" s="386" t="s">
        <v>272</v>
      </c>
      <c r="C15" s="387"/>
      <c r="D15" s="387"/>
      <c r="E15" s="311">
        <f>E12/E10*100</f>
        <v>36.880388816910113</v>
      </c>
      <c r="F15" s="311">
        <f>F12/F10*100</f>
        <v>38.178740935887419</v>
      </c>
      <c r="G15" s="311">
        <f>G12/G10*100</f>
        <v>36.19625241893614</v>
      </c>
      <c r="H15" s="311">
        <f>H12/H10*100</f>
        <v>29.607945398063535</v>
      </c>
      <c r="I15" s="312">
        <f>I12/I10*100</f>
        <v>32.464253244069759</v>
      </c>
    </row>
    <row r="16" spans="2:16">
      <c r="B16" s="374" t="s">
        <v>273</v>
      </c>
      <c r="C16" s="379"/>
      <c r="D16" s="379"/>
      <c r="E16" s="162">
        <f>E12/E11*100</f>
        <v>58.868302368520908</v>
      </c>
      <c r="F16" s="162">
        <f>F12/F11*100</f>
        <v>61.958696638120813</v>
      </c>
      <c r="G16" s="162">
        <f>G12/G11*100</f>
        <v>56.902829498001196</v>
      </c>
      <c r="H16" s="162">
        <f>H12/H11*100</f>
        <v>42.335371256830676</v>
      </c>
      <c r="I16" s="169">
        <f>I12/I11*100</f>
        <v>48.187760326052704</v>
      </c>
    </row>
    <row r="17" spans="2:13">
      <c r="B17" s="374" t="s">
        <v>431</v>
      </c>
      <c r="C17" s="379"/>
      <c r="D17" s="379"/>
      <c r="E17" s="162">
        <f>E13/E14</f>
        <v>19.889495602690122</v>
      </c>
      <c r="F17" s="162">
        <f>F13/F14</f>
        <v>25.670894777265747</v>
      </c>
      <c r="G17" s="162">
        <f>G13/G14</f>
        <v>17.82732909698997</v>
      </c>
      <c r="H17" s="162">
        <f>H13/H14</f>
        <v>35.257429970617039</v>
      </c>
      <c r="I17" s="169">
        <f>I13/I14</f>
        <v>20.561968085106386</v>
      </c>
    </row>
    <row r="18" spans="2:13" ht="15" thickBot="1">
      <c r="B18" s="375" t="s">
        <v>274</v>
      </c>
      <c r="C18" s="388"/>
      <c r="D18" s="388"/>
      <c r="E18" s="161">
        <f>E10/E11*100</f>
        <v>159.61952749676286</v>
      </c>
      <c r="F18" s="161">
        <f>F10/F11*100</f>
        <v>162.28585626269464</v>
      </c>
      <c r="G18" s="161">
        <f>G10/G11*100</f>
        <v>157.20641142460474</v>
      </c>
      <c r="H18" s="161">
        <f>H10/H11*100</f>
        <v>142.98652165036606</v>
      </c>
      <c r="I18" s="163">
        <f>I10/I11*100</f>
        <v>148.43329357916204</v>
      </c>
    </row>
    <row r="20" spans="2:13">
      <c r="B20" s="392"/>
      <c r="C20" s="392"/>
      <c r="D20" s="392"/>
    </row>
    <row r="21" spans="2:13">
      <c r="B21" s="389" t="s">
        <v>428</v>
      </c>
      <c r="C21" s="389"/>
      <c r="D21" s="389"/>
    </row>
    <row r="22" spans="2:13">
      <c r="B22" s="390" t="s">
        <v>271</v>
      </c>
      <c r="C22" s="390"/>
      <c r="D22" s="390"/>
      <c r="E22" s="310">
        <f>SUM(E23:E25)</f>
        <v>38446.395000000004</v>
      </c>
      <c r="F22" s="310">
        <f t="shared" ref="F22:I22" si="1">SUM(F23:F25)</f>
        <v>33423.505000000005</v>
      </c>
      <c r="G22" s="310">
        <f t="shared" si="1"/>
        <v>26651.857000000004</v>
      </c>
      <c r="H22" s="310">
        <f t="shared" si="1"/>
        <v>35997.835999999996</v>
      </c>
      <c r="I22" s="310">
        <f t="shared" si="1"/>
        <v>25126.725000000006</v>
      </c>
    </row>
    <row r="23" spans="2:13" ht="32.25" customHeight="1">
      <c r="B23" s="391" t="s">
        <v>98</v>
      </c>
      <c r="C23" s="391"/>
      <c r="D23" s="391"/>
      <c r="E23" s="159">
        <v>26706.395000000004</v>
      </c>
      <c r="F23" s="159">
        <v>24700.505000000005</v>
      </c>
      <c r="G23" s="159">
        <v>20331.857000000004</v>
      </c>
      <c r="H23" s="159">
        <v>27043.835999999996</v>
      </c>
      <c r="I23" s="159">
        <v>19483.725000000006</v>
      </c>
    </row>
    <row r="24" spans="2:13" ht="31.5" customHeight="1">
      <c r="B24" s="378" t="s">
        <v>285</v>
      </c>
      <c r="C24" s="378"/>
      <c r="D24" s="378"/>
      <c r="E24" s="160">
        <v>9807</v>
      </c>
      <c r="F24" s="160">
        <v>7421</v>
      </c>
      <c r="G24" s="160">
        <v>4825</v>
      </c>
      <c r="H24" s="160">
        <v>7933</v>
      </c>
      <c r="I24" s="160">
        <v>4421</v>
      </c>
    </row>
    <row r="25" spans="2:13">
      <c r="B25" s="379" t="s">
        <v>72</v>
      </c>
      <c r="C25" s="379"/>
      <c r="D25" s="379"/>
      <c r="E25" s="160">
        <v>1933</v>
      </c>
      <c r="F25" s="160">
        <v>1302</v>
      </c>
      <c r="G25" s="160">
        <v>1495</v>
      </c>
      <c r="H25" s="160">
        <v>1021</v>
      </c>
      <c r="I25" s="160">
        <v>1222</v>
      </c>
    </row>
    <row r="27" spans="2:13">
      <c r="B27" s="16" t="s">
        <v>429</v>
      </c>
      <c r="M27" s="16" t="s">
        <v>433</v>
      </c>
    </row>
    <row r="56" spans="2:13">
      <c r="B56" s="16" t="s">
        <v>432</v>
      </c>
      <c r="M56" s="16" t="s">
        <v>434</v>
      </c>
    </row>
  </sheetData>
  <mergeCells count="24">
    <mergeCell ref="B24:D24"/>
    <mergeCell ref="B25:D25"/>
    <mergeCell ref="B9:D9"/>
    <mergeCell ref="B10:D10"/>
    <mergeCell ref="B11:D11"/>
    <mergeCell ref="B12:D12"/>
    <mergeCell ref="B13:D13"/>
    <mergeCell ref="B14:D14"/>
    <mergeCell ref="B15:D15"/>
    <mergeCell ref="B16:D16"/>
    <mergeCell ref="B18:D18"/>
    <mergeCell ref="B21:D21"/>
    <mergeCell ref="B22:D22"/>
    <mergeCell ref="B23:D23"/>
    <mergeCell ref="B17:D17"/>
    <mergeCell ref="B20:D20"/>
    <mergeCell ref="I3:I4"/>
    <mergeCell ref="B3:B4"/>
    <mergeCell ref="C3:C4"/>
    <mergeCell ref="H3:H4"/>
    <mergeCell ref="F3:F4"/>
    <mergeCell ref="D3:D4"/>
    <mergeCell ref="E3:E4"/>
    <mergeCell ref="G3:G4"/>
  </mergeCells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workbookViewId="0">
      <selection activeCell="B13" sqref="B13"/>
    </sheetView>
  </sheetViews>
  <sheetFormatPr baseColWidth="10" defaultColWidth="8.83203125" defaultRowHeight="14" x14ac:dyDescent="0"/>
  <cols>
    <col min="2" max="2" width="26.33203125" customWidth="1"/>
  </cols>
  <sheetData>
    <row r="1" spans="2:7">
      <c r="B1" s="16" t="s">
        <v>435</v>
      </c>
    </row>
    <row r="2" spans="2:7" ht="15" thickBot="1">
      <c r="B2" s="16"/>
    </row>
    <row r="3" spans="2:7">
      <c r="B3" s="257" t="s">
        <v>250</v>
      </c>
      <c r="C3" s="258">
        <v>2002</v>
      </c>
      <c r="D3" s="258">
        <v>2003</v>
      </c>
      <c r="E3" s="258">
        <v>2004</v>
      </c>
      <c r="F3" s="258">
        <v>2005</v>
      </c>
      <c r="G3" s="259">
        <v>2006</v>
      </c>
    </row>
    <row r="4" spans="2:7">
      <c r="B4" s="170" t="s">
        <v>137</v>
      </c>
      <c r="C4" s="102">
        <v>69989</v>
      </c>
      <c r="D4" s="102">
        <v>77665</v>
      </c>
      <c r="E4" s="102">
        <v>89365</v>
      </c>
      <c r="F4" s="102">
        <v>101171</v>
      </c>
      <c r="G4" s="104">
        <v>110661</v>
      </c>
    </row>
    <row r="5" spans="2:7">
      <c r="B5" s="86" t="s">
        <v>286</v>
      </c>
      <c r="C5" s="81">
        <v>25104</v>
      </c>
      <c r="D5" s="81">
        <v>29283</v>
      </c>
      <c r="E5" s="81">
        <v>36662</v>
      </c>
      <c r="F5" s="81">
        <v>43562</v>
      </c>
      <c r="G5" s="137">
        <v>45208</v>
      </c>
    </row>
    <row r="6" spans="2:7">
      <c r="B6" s="86" t="s">
        <v>287</v>
      </c>
      <c r="C6" s="81">
        <v>18498</v>
      </c>
      <c r="D6" s="81">
        <v>18661</v>
      </c>
      <c r="E6" s="81">
        <v>14966</v>
      </c>
      <c r="F6" s="81">
        <v>14269</v>
      </c>
      <c r="G6" s="137">
        <v>19119</v>
      </c>
    </row>
    <row r="7" spans="2:7">
      <c r="B7" s="170" t="s">
        <v>288</v>
      </c>
      <c r="C7" s="92">
        <f>C19+C20</f>
        <v>46552</v>
      </c>
      <c r="D7" s="92">
        <f t="shared" ref="D7:G7" si="0">D19+D20</f>
        <v>52989</v>
      </c>
      <c r="E7" s="92">
        <f t="shared" si="0"/>
        <v>52549</v>
      </c>
      <c r="F7" s="92">
        <f t="shared" si="0"/>
        <v>48520</v>
      </c>
      <c r="G7" s="171">
        <f t="shared" si="0"/>
        <v>52335</v>
      </c>
    </row>
    <row r="8" spans="2:7">
      <c r="B8" s="86" t="s">
        <v>343</v>
      </c>
      <c r="C8" s="162">
        <f>C4/C7</f>
        <v>1.5034584980237153</v>
      </c>
      <c r="D8" s="162">
        <f t="shared" ref="D8:G8" si="1">D4/D7</f>
        <v>1.4656815565494725</v>
      </c>
      <c r="E8" s="162">
        <f t="shared" si="1"/>
        <v>1.7006032464937486</v>
      </c>
      <c r="F8" s="162">
        <f t="shared" si="1"/>
        <v>2.0851401483924157</v>
      </c>
      <c r="G8" s="169">
        <f t="shared" si="1"/>
        <v>2.1144740613356263</v>
      </c>
    </row>
    <row r="9" spans="2:7">
      <c r="B9" s="86" t="s">
        <v>344</v>
      </c>
      <c r="C9" s="162">
        <f>(C4-C5)/C7</f>
        <v>0.96419058257432544</v>
      </c>
      <c r="D9" s="162">
        <f t="shared" ref="D9:G9" si="2">(D4-D5)/D7</f>
        <v>0.91305742701315362</v>
      </c>
      <c r="E9" s="162">
        <f t="shared" si="2"/>
        <v>1.0029305981084322</v>
      </c>
      <c r="F9" s="162">
        <f t="shared" si="2"/>
        <v>1.1873248145094806</v>
      </c>
      <c r="G9" s="169">
        <f t="shared" si="2"/>
        <v>1.2506544377567594</v>
      </c>
    </row>
    <row r="10" spans="2:7" ht="15" thickBot="1">
      <c r="B10" s="116" t="s">
        <v>345</v>
      </c>
      <c r="C10" s="161">
        <f>C6/C7</f>
        <v>0.39736208970613507</v>
      </c>
      <c r="D10" s="161">
        <f t="shared" ref="D10:G10" si="3">D6/D7</f>
        <v>0.35216743097624037</v>
      </c>
      <c r="E10" s="161">
        <f t="shared" si="3"/>
        <v>0.28480085253763154</v>
      </c>
      <c r="F10" s="161">
        <f t="shared" si="3"/>
        <v>0.29408491343775761</v>
      </c>
      <c r="G10" s="163">
        <f t="shared" si="3"/>
        <v>0.3653195758096876</v>
      </c>
    </row>
    <row r="12" spans="2:7">
      <c r="B12" s="16" t="s">
        <v>436</v>
      </c>
    </row>
    <row r="19" spans="2:7">
      <c r="B19" s="81" t="s">
        <v>254</v>
      </c>
      <c r="C19" s="81">
        <v>24827</v>
      </c>
      <c r="D19" s="81">
        <v>23242</v>
      </c>
      <c r="E19" s="81">
        <v>28193</v>
      </c>
      <c r="F19" s="81">
        <v>29162</v>
      </c>
      <c r="G19" s="81">
        <v>30189</v>
      </c>
    </row>
    <row r="20" spans="2:7">
      <c r="B20" s="81" t="s">
        <v>289</v>
      </c>
      <c r="C20" s="81">
        <v>21725</v>
      </c>
      <c r="D20" s="81">
        <v>29747</v>
      </c>
      <c r="E20" s="81">
        <v>24356</v>
      </c>
      <c r="F20" s="81">
        <v>19358</v>
      </c>
      <c r="G20" s="81">
        <v>22146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workbookViewId="0">
      <selection activeCell="O66" sqref="O66"/>
    </sheetView>
  </sheetViews>
  <sheetFormatPr baseColWidth="10" defaultColWidth="8.83203125" defaultRowHeight="14" x14ac:dyDescent="0"/>
  <sheetData>
    <row r="1" spans="2:15">
      <c r="B1" s="16" t="s">
        <v>418</v>
      </c>
    </row>
    <row r="2" spans="2:15" ht="15" thickBot="1"/>
    <row r="3" spans="2:15">
      <c r="B3" s="399" t="s">
        <v>250</v>
      </c>
      <c r="C3" s="400"/>
      <c r="D3" s="401"/>
      <c r="E3" s="260">
        <v>2002</v>
      </c>
      <c r="F3" s="260">
        <v>2003</v>
      </c>
      <c r="G3" s="260">
        <v>2004</v>
      </c>
      <c r="H3" s="260">
        <v>2005</v>
      </c>
      <c r="I3" s="261">
        <v>2006</v>
      </c>
    </row>
    <row r="4" spans="2:15">
      <c r="B4" s="364" t="s">
        <v>270</v>
      </c>
      <c r="C4" s="365"/>
      <c r="D4" s="365"/>
      <c r="E4" s="121">
        <v>152051</v>
      </c>
      <c r="F4" s="121">
        <v>193207</v>
      </c>
      <c r="G4" s="121">
        <v>211870</v>
      </c>
      <c r="H4" s="121">
        <v>220505</v>
      </c>
      <c r="I4" s="122">
        <v>241980</v>
      </c>
      <c r="K4" t="s">
        <v>324</v>
      </c>
    </row>
    <row r="5" spans="2:15">
      <c r="B5" s="395" t="s">
        <v>316</v>
      </c>
      <c r="C5" s="396"/>
      <c r="D5" s="396"/>
      <c r="E5" s="262"/>
      <c r="F5" s="262">
        <f>(F4+E4)/2</f>
        <v>172629</v>
      </c>
      <c r="G5" s="262">
        <f>(G4+F4)/2</f>
        <v>202538.5</v>
      </c>
      <c r="H5" s="262">
        <f>(H4+G4)/2</f>
        <v>216187.5</v>
      </c>
      <c r="I5" s="263">
        <f>(I4+H4)/2</f>
        <v>231242.5</v>
      </c>
      <c r="K5" t="s">
        <v>346</v>
      </c>
      <c r="O5" s="142">
        <f>(I19-F19)/F19</f>
        <v>0.42615546470781684</v>
      </c>
    </row>
    <row r="6" spans="2:15">
      <c r="B6" s="364" t="s">
        <v>286</v>
      </c>
      <c r="C6" s="365"/>
      <c r="D6" s="365"/>
      <c r="E6" s="121">
        <v>25104</v>
      </c>
      <c r="F6" s="121">
        <v>29283</v>
      </c>
      <c r="G6" s="121">
        <v>36662</v>
      </c>
      <c r="H6" s="121">
        <v>43562</v>
      </c>
      <c r="I6" s="122">
        <v>45208</v>
      </c>
      <c r="K6" t="s">
        <v>367</v>
      </c>
      <c r="O6" s="142">
        <f>(I21-F21)/F21</f>
        <v>0.40482327772796362</v>
      </c>
    </row>
    <row r="7" spans="2:15">
      <c r="B7" s="395" t="s">
        <v>317</v>
      </c>
      <c r="C7" s="396"/>
      <c r="D7" s="396"/>
      <c r="E7" s="262"/>
      <c r="F7" s="262">
        <f>(F6+E6)/2</f>
        <v>27193.5</v>
      </c>
      <c r="G7" s="262">
        <f t="shared" ref="G7:I7" si="0">(G6+F6)/2</f>
        <v>32972.5</v>
      </c>
      <c r="H7" s="262">
        <f t="shared" si="0"/>
        <v>40112</v>
      </c>
      <c r="I7" s="263">
        <f t="shared" si="0"/>
        <v>44385</v>
      </c>
      <c r="K7" t="s">
        <v>368</v>
      </c>
      <c r="O7" s="142">
        <f>(I23-F23)/F23</f>
        <v>-0.11469852354390657</v>
      </c>
    </row>
    <row r="8" spans="2:15">
      <c r="B8" s="364" t="s">
        <v>314</v>
      </c>
      <c r="C8" s="365"/>
      <c r="D8" s="365"/>
      <c r="E8" s="121">
        <v>26149</v>
      </c>
      <c r="F8" s="121">
        <v>29396</v>
      </c>
      <c r="G8" s="121">
        <v>37374</v>
      </c>
      <c r="H8" s="121">
        <v>43095</v>
      </c>
      <c r="I8" s="122">
        <v>46209</v>
      </c>
    </row>
    <row r="9" spans="2:15">
      <c r="B9" s="395" t="s">
        <v>318</v>
      </c>
      <c r="C9" s="396"/>
      <c r="D9" s="396"/>
      <c r="E9" s="262"/>
      <c r="F9" s="262">
        <f>(F8+E8)/2</f>
        <v>27772.5</v>
      </c>
      <c r="G9" s="262">
        <f t="shared" ref="G9:I9" si="1">(G8+F8)/2</f>
        <v>33385</v>
      </c>
      <c r="H9" s="262">
        <f t="shared" si="1"/>
        <v>40234.5</v>
      </c>
      <c r="I9" s="263">
        <f t="shared" si="1"/>
        <v>44652</v>
      </c>
    </row>
    <row r="10" spans="2:15">
      <c r="B10" s="364" t="s">
        <v>315</v>
      </c>
      <c r="C10" s="365"/>
      <c r="D10" s="365"/>
      <c r="E10" s="121">
        <f>E12+E13</f>
        <v>46552</v>
      </c>
      <c r="F10" s="121">
        <f t="shared" ref="F10:I10" si="2">F12+F13</f>
        <v>52989</v>
      </c>
      <c r="G10" s="121">
        <f t="shared" si="2"/>
        <v>52549</v>
      </c>
      <c r="H10" s="121">
        <f t="shared" si="2"/>
        <v>48520</v>
      </c>
      <c r="I10" s="122">
        <f t="shared" si="2"/>
        <v>52335</v>
      </c>
    </row>
    <row r="11" spans="2:15">
      <c r="B11" s="395" t="s">
        <v>319</v>
      </c>
      <c r="C11" s="396"/>
      <c r="D11" s="396"/>
      <c r="E11" s="262"/>
      <c r="F11" s="262">
        <f>(F10+E10)/2</f>
        <v>49770.5</v>
      </c>
      <c r="G11" s="262">
        <f>(G10+F10)/2</f>
        <v>52769</v>
      </c>
      <c r="H11" s="262">
        <f t="shared" ref="H11:I11" si="3">(H10+G10)/2</f>
        <v>50534.5</v>
      </c>
      <c r="I11" s="263">
        <f t="shared" si="3"/>
        <v>50427.5</v>
      </c>
    </row>
    <row r="12" spans="2:15">
      <c r="B12" s="364" t="s">
        <v>254</v>
      </c>
      <c r="C12" s="365"/>
      <c r="D12" s="365"/>
      <c r="E12" s="121">
        <v>24827</v>
      </c>
      <c r="F12" s="121">
        <v>23242</v>
      </c>
      <c r="G12" s="121">
        <v>28193</v>
      </c>
      <c r="H12" s="121">
        <v>29162</v>
      </c>
      <c r="I12" s="122">
        <v>30189</v>
      </c>
    </row>
    <row r="13" spans="2:15">
      <c r="B13" s="364" t="s">
        <v>214</v>
      </c>
      <c r="C13" s="365"/>
      <c r="D13" s="365"/>
      <c r="E13" s="121">
        <v>21725</v>
      </c>
      <c r="F13" s="121">
        <v>29747</v>
      </c>
      <c r="G13" s="121">
        <v>24356</v>
      </c>
      <c r="H13" s="121">
        <v>19358</v>
      </c>
      <c r="I13" s="122">
        <v>22146</v>
      </c>
    </row>
    <row r="14" spans="2:15">
      <c r="B14" s="395" t="s">
        <v>301</v>
      </c>
      <c r="C14" s="396"/>
      <c r="D14" s="396"/>
      <c r="E14" s="264">
        <v>267163</v>
      </c>
      <c r="F14" s="264">
        <v>269870</v>
      </c>
      <c r="G14" s="264">
        <v>296280</v>
      </c>
      <c r="H14" s="264">
        <v>314401</v>
      </c>
      <c r="I14" s="265">
        <v>308858</v>
      </c>
    </row>
    <row r="15" spans="2:15" ht="15" thickBot="1">
      <c r="B15" s="397" t="s">
        <v>320</v>
      </c>
      <c r="C15" s="398"/>
      <c r="D15" s="398"/>
      <c r="E15" s="222">
        <f>E14/360</f>
        <v>742.11944444444441</v>
      </c>
      <c r="F15" s="222">
        <f>F14/360</f>
        <v>749.63888888888891</v>
      </c>
      <c r="G15" s="222">
        <f t="shared" ref="G15:I15" si="4">G14/360</f>
        <v>823</v>
      </c>
      <c r="H15" s="222">
        <f t="shared" si="4"/>
        <v>873.33611111111111</v>
      </c>
      <c r="I15" s="223">
        <f t="shared" si="4"/>
        <v>857.93888888888887</v>
      </c>
    </row>
    <row r="16" spans="2:15">
      <c r="B16" s="362" t="s">
        <v>307</v>
      </c>
      <c r="C16" s="363"/>
      <c r="D16" s="363"/>
      <c r="E16" s="219"/>
      <c r="F16" s="224">
        <f>F14/F5</f>
        <v>1.5632946955610008</v>
      </c>
      <c r="G16" s="224">
        <f>G14/G5</f>
        <v>1.4628329922459187</v>
      </c>
      <c r="H16" s="224">
        <f>H14/H5</f>
        <v>1.4542977739230991</v>
      </c>
      <c r="I16" s="225">
        <f>I14/I5</f>
        <v>1.3356454803939588</v>
      </c>
    </row>
    <row r="17" spans="2:11">
      <c r="B17" s="395" t="s">
        <v>306</v>
      </c>
      <c r="C17" s="396"/>
      <c r="D17" s="396"/>
      <c r="E17" s="266"/>
      <c r="F17" s="267">
        <f>F5/F15</f>
        <v>230.28287694074925</v>
      </c>
      <c r="G17" s="267">
        <f t="shared" ref="G17:I17" si="5">G5/G15</f>
        <v>246.09781287970839</v>
      </c>
      <c r="H17" s="267">
        <f t="shared" si="5"/>
        <v>247.54215158348734</v>
      </c>
      <c r="I17" s="268">
        <f t="shared" si="5"/>
        <v>269.53260074208862</v>
      </c>
    </row>
    <row r="18" spans="2:11">
      <c r="B18" s="364" t="s">
        <v>309</v>
      </c>
      <c r="C18" s="365"/>
      <c r="D18" s="365"/>
      <c r="E18" s="220"/>
      <c r="F18" s="221">
        <f>F14/F7</f>
        <v>9.9240627355801934</v>
      </c>
      <c r="G18" s="221">
        <f>G14/G7</f>
        <v>8.9856698764121621</v>
      </c>
      <c r="H18" s="221">
        <f>H14/H7</f>
        <v>7.8380783805345038</v>
      </c>
      <c r="I18" s="226">
        <f>I14/I7</f>
        <v>6.958612143742255</v>
      </c>
      <c r="K18" s="217">
        <f>F14/F5</f>
        <v>1.5632946955610008</v>
      </c>
    </row>
    <row r="19" spans="2:11">
      <c r="B19" s="395" t="s">
        <v>308</v>
      </c>
      <c r="C19" s="396"/>
      <c r="D19" s="396"/>
      <c r="E19" s="266"/>
      <c r="F19" s="267">
        <f>F7/F15</f>
        <v>36.275465965094305</v>
      </c>
      <c r="G19" s="267">
        <f t="shared" ref="G19:I19" si="6">G7/G15</f>
        <v>40.063791008505468</v>
      </c>
      <c r="H19" s="267">
        <f t="shared" si="6"/>
        <v>45.929624905773203</v>
      </c>
      <c r="I19" s="268">
        <f t="shared" si="6"/>
        <v>51.734454020941662</v>
      </c>
    </row>
    <row r="20" spans="2:11">
      <c r="B20" s="364" t="s">
        <v>311</v>
      </c>
      <c r="C20" s="365"/>
      <c r="D20" s="365"/>
      <c r="E20" s="220"/>
      <c r="F20" s="221">
        <f>F14/F9</f>
        <v>9.7171662615897016</v>
      </c>
      <c r="G20" s="221">
        <f>G14/G9</f>
        <v>8.8746443013329337</v>
      </c>
      <c r="H20" s="221">
        <f>H14/H9</f>
        <v>7.8142141694317067</v>
      </c>
      <c r="I20" s="226">
        <f>I14/I9</f>
        <v>6.917002597867957</v>
      </c>
    </row>
    <row r="21" spans="2:11">
      <c r="B21" s="395" t="s">
        <v>310</v>
      </c>
      <c r="C21" s="396"/>
      <c r="D21" s="396"/>
      <c r="E21" s="266"/>
      <c r="F21" s="267">
        <f>F9/F15</f>
        <v>37.047837847852669</v>
      </c>
      <c r="G21" s="267">
        <f t="shared" ref="G21:I21" si="7">G9/G15</f>
        <v>40.565006075334146</v>
      </c>
      <c r="H21" s="267">
        <f t="shared" si="7"/>
        <v>46.069891635204726</v>
      </c>
      <c r="I21" s="268">
        <f t="shared" si="7"/>
        <v>52.045664998154493</v>
      </c>
    </row>
    <row r="22" spans="2:11">
      <c r="B22" s="364" t="s">
        <v>313</v>
      </c>
      <c r="C22" s="365"/>
      <c r="D22" s="365"/>
      <c r="E22" s="220"/>
      <c r="F22" s="221">
        <f>F14/F11</f>
        <v>5.4222883033122029</v>
      </c>
      <c r="G22" s="221">
        <f>G14/G11</f>
        <v>5.6146601224203607</v>
      </c>
      <c r="H22" s="221">
        <f>H14/H11</f>
        <v>6.2215120363316148</v>
      </c>
      <c r="I22" s="226">
        <f>I14/I11</f>
        <v>6.1247930196817215</v>
      </c>
    </row>
    <row r="23" spans="2:11" ht="15" thickBot="1">
      <c r="B23" s="393" t="s">
        <v>312</v>
      </c>
      <c r="C23" s="394"/>
      <c r="D23" s="394"/>
      <c r="E23" s="269"/>
      <c r="F23" s="270">
        <f>F11/F15</f>
        <v>66.392633490198989</v>
      </c>
      <c r="G23" s="270">
        <f t="shared" ref="G23:I23" si="8">G11/G15</f>
        <v>64.117861482381528</v>
      </c>
      <c r="H23" s="270">
        <f t="shared" si="8"/>
        <v>57.863747252712301</v>
      </c>
      <c r="I23" s="271">
        <f t="shared" si="8"/>
        <v>58.77749645468144</v>
      </c>
    </row>
    <row r="25" spans="2:11">
      <c r="B25" s="16" t="s">
        <v>419</v>
      </c>
    </row>
    <row r="56" spans="2:2">
      <c r="B56" s="16" t="s">
        <v>420</v>
      </c>
    </row>
  </sheetData>
  <mergeCells count="21">
    <mergeCell ref="B12:D12"/>
    <mergeCell ref="B13:D13"/>
    <mergeCell ref="B5:D5"/>
    <mergeCell ref="B7:D7"/>
    <mergeCell ref="B9:D9"/>
    <mergeCell ref="B11:D11"/>
    <mergeCell ref="B3:D3"/>
    <mergeCell ref="B4:D4"/>
    <mergeCell ref="B6:D6"/>
    <mergeCell ref="B8:D8"/>
    <mergeCell ref="B10:D10"/>
    <mergeCell ref="B23:D23"/>
    <mergeCell ref="B14:D14"/>
    <mergeCell ref="B17:D17"/>
    <mergeCell ref="B16:D16"/>
    <mergeCell ref="B15:D15"/>
    <mergeCell ref="B19:D19"/>
    <mergeCell ref="B18:D18"/>
    <mergeCell ref="B22:D22"/>
    <mergeCell ref="B21:D21"/>
    <mergeCell ref="B20:D20"/>
  </mergeCells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0"/>
  <sheetViews>
    <sheetView workbookViewId="0">
      <selection activeCell="K73" sqref="K73"/>
    </sheetView>
  </sheetViews>
  <sheetFormatPr baseColWidth="10" defaultColWidth="8.83203125" defaultRowHeight="14" x14ac:dyDescent="0"/>
  <cols>
    <col min="2" max="2" width="23.1640625" customWidth="1"/>
    <col min="3" max="3" width="13.1640625" bestFit="1" customWidth="1"/>
  </cols>
  <sheetData>
    <row r="1" spans="2:9">
      <c r="B1" s="16" t="s">
        <v>364</v>
      </c>
      <c r="I1" s="16" t="s">
        <v>439</v>
      </c>
    </row>
    <row r="3" spans="2:9">
      <c r="B3" s="248" t="s">
        <v>347</v>
      </c>
      <c r="C3" s="249">
        <v>2002</v>
      </c>
      <c r="D3" s="249">
        <v>2003</v>
      </c>
      <c r="E3" s="249">
        <v>2004</v>
      </c>
      <c r="F3" s="249">
        <v>2005</v>
      </c>
      <c r="G3" s="249">
        <v>2006</v>
      </c>
    </row>
    <row r="4" spans="2:9">
      <c r="B4" s="229" t="s">
        <v>268</v>
      </c>
      <c r="C4" s="230">
        <v>95258</v>
      </c>
      <c r="D4" s="230">
        <v>119053.505</v>
      </c>
      <c r="E4" s="230">
        <v>134771.85700000002</v>
      </c>
      <c r="F4" s="230">
        <v>154213.83600000001</v>
      </c>
      <c r="G4" s="230">
        <v>163022.72500000001</v>
      </c>
    </row>
    <row r="5" spans="2:9">
      <c r="B5" s="229" t="s">
        <v>353</v>
      </c>
      <c r="C5" s="230">
        <v>1455</v>
      </c>
      <c r="D5" s="230">
        <v>1112</v>
      </c>
      <c r="E5" s="230">
        <v>985</v>
      </c>
      <c r="F5" s="230">
        <v>845</v>
      </c>
      <c r="G5" s="230">
        <v>716</v>
      </c>
    </row>
    <row r="6" spans="2:9">
      <c r="B6" s="229" t="s">
        <v>300</v>
      </c>
      <c r="C6" s="230">
        <v>3235</v>
      </c>
      <c r="D6" s="230">
        <v>4428</v>
      </c>
      <c r="E6" s="230">
        <v>4949</v>
      </c>
      <c r="F6" s="230">
        <v>5739</v>
      </c>
      <c r="G6" s="230">
        <v>6574</v>
      </c>
    </row>
    <row r="7" spans="2:9">
      <c r="B7" s="229" t="s">
        <v>352</v>
      </c>
      <c r="C7" s="121">
        <v>4835</v>
      </c>
      <c r="D7" s="121">
        <v>15235</v>
      </c>
      <c r="E7" s="121">
        <v>18206</v>
      </c>
      <c r="F7" s="121">
        <v>10183</v>
      </c>
      <c r="G7" s="121">
        <v>18932</v>
      </c>
    </row>
    <row r="8" spans="2:9">
      <c r="B8" s="229" t="s">
        <v>359</v>
      </c>
      <c r="C8" s="230">
        <v>716</v>
      </c>
      <c r="D8" s="230">
        <v>389</v>
      </c>
      <c r="E8" s="230">
        <v>409</v>
      </c>
      <c r="F8" s="230">
        <v>1004</v>
      </c>
      <c r="G8" s="230">
        <v>400</v>
      </c>
    </row>
    <row r="9" spans="2:9">
      <c r="B9" s="248" t="s">
        <v>351</v>
      </c>
      <c r="C9" s="272">
        <f>SUM(C4:C8)</f>
        <v>105499</v>
      </c>
      <c r="D9" s="272">
        <f t="shared" ref="D9:G9" si="0">SUM(D4:D8)</f>
        <v>140217.505</v>
      </c>
      <c r="E9" s="272">
        <f t="shared" si="0"/>
        <v>159320.85700000002</v>
      </c>
      <c r="F9" s="272">
        <f t="shared" si="0"/>
        <v>171984.83600000001</v>
      </c>
      <c r="G9" s="272">
        <f t="shared" si="0"/>
        <v>189644.72500000001</v>
      </c>
    </row>
    <row r="10" spans="2:9">
      <c r="B10" s="229" t="s">
        <v>355</v>
      </c>
      <c r="C10" s="230">
        <v>77972</v>
      </c>
      <c r="D10" s="230">
        <v>110286</v>
      </c>
      <c r="E10" s="230">
        <v>116276</v>
      </c>
      <c r="F10" s="230">
        <v>111887</v>
      </c>
      <c r="G10" s="231">
        <v>122053</v>
      </c>
    </row>
    <row r="11" spans="2:9">
      <c r="B11" s="229" t="s">
        <v>334</v>
      </c>
      <c r="C11" s="121">
        <v>238</v>
      </c>
      <c r="D11" s="121">
        <v>325</v>
      </c>
      <c r="E11" s="121">
        <v>363</v>
      </c>
      <c r="F11" s="121">
        <v>245</v>
      </c>
      <c r="G11" s="121">
        <v>125</v>
      </c>
    </row>
    <row r="12" spans="2:9">
      <c r="B12" s="229" t="s">
        <v>360</v>
      </c>
      <c r="C12" s="230">
        <v>4090</v>
      </c>
      <c r="D12" s="230">
        <v>5256</v>
      </c>
      <c r="E12" s="230">
        <v>6229</v>
      </c>
      <c r="F12" s="230">
        <v>7447</v>
      </c>
      <c r="G12" s="231">
        <v>9266</v>
      </c>
    </row>
    <row r="13" spans="2:9">
      <c r="B13" s="248" t="s">
        <v>348</v>
      </c>
      <c r="C13" s="272">
        <f>SUM(C10:C12)</f>
        <v>82300</v>
      </c>
      <c r="D13" s="272">
        <f t="shared" ref="D13:G13" si="1">SUM(D10:D12)</f>
        <v>115867</v>
      </c>
      <c r="E13" s="272">
        <f t="shared" si="1"/>
        <v>122868</v>
      </c>
      <c r="F13" s="272">
        <f t="shared" si="1"/>
        <v>119579</v>
      </c>
      <c r="G13" s="272">
        <f t="shared" si="1"/>
        <v>131444</v>
      </c>
    </row>
    <row r="14" spans="2:9">
      <c r="B14" s="248" t="s">
        <v>437</v>
      </c>
      <c r="C14" s="313">
        <f>C9/C13*100</f>
        <v>128.1883353584447</v>
      </c>
      <c r="D14" s="313">
        <f t="shared" ref="D14:G14" si="2">D9/D13*100</f>
        <v>121.01591048357167</v>
      </c>
      <c r="E14" s="313">
        <f t="shared" si="2"/>
        <v>129.66830826578118</v>
      </c>
      <c r="F14" s="313">
        <f t="shared" si="2"/>
        <v>143.82528370366035</v>
      </c>
      <c r="G14" s="313">
        <f t="shared" si="2"/>
        <v>144.27796247831776</v>
      </c>
    </row>
    <row r="15" spans="2:9">
      <c r="B15" s="229" t="s">
        <v>254</v>
      </c>
      <c r="C15" s="232">
        <v>24827</v>
      </c>
      <c r="D15" s="232">
        <v>23242</v>
      </c>
      <c r="E15" s="232">
        <v>28193</v>
      </c>
      <c r="F15" s="232">
        <v>29162</v>
      </c>
      <c r="G15" s="233">
        <v>30189</v>
      </c>
    </row>
    <row r="16" spans="2:9">
      <c r="B16" s="229" t="s">
        <v>354</v>
      </c>
      <c r="C16" s="121">
        <v>21725</v>
      </c>
      <c r="D16" s="121">
        <v>29747</v>
      </c>
      <c r="E16" s="121">
        <v>24356</v>
      </c>
      <c r="F16" s="121">
        <v>19358</v>
      </c>
      <c r="G16" s="121">
        <v>22146</v>
      </c>
    </row>
    <row r="17" spans="2:9">
      <c r="B17" s="248" t="s">
        <v>349</v>
      </c>
      <c r="C17" s="272">
        <f>SUM(C15:C16)</f>
        <v>46552</v>
      </c>
      <c r="D17" s="272">
        <f t="shared" ref="D17:G17" si="3">SUM(D15:D16)</f>
        <v>52989</v>
      </c>
      <c r="E17" s="272">
        <f t="shared" si="3"/>
        <v>52549</v>
      </c>
      <c r="F17" s="272">
        <f t="shared" si="3"/>
        <v>48520</v>
      </c>
      <c r="G17" s="272">
        <f t="shared" si="3"/>
        <v>52335</v>
      </c>
    </row>
    <row r="18" spans="2:9">
      <c r="B18" s="229" t="s">
        <v>286</v>
      </c>
      <c r="C18" s="232">
        <v>25104</v>
      </c>
      <c r="D18" s="232">
        <v>29283</v>
      </c>
      <c r="E18" s="232">
        <v>36662</v>
      </c>
      <c r="F18" s="232">
        <v>43562</v>
      </c>
      <c r="G18" s="233">
        <v>45208</v>
      </c>
    </row>
    <row r="19" spans="2:9">
      <c r="B19" s="229" t="s">
        <v>335</v>
      </c>
      <c r="C19" s="232">
        <v>26149</v>
      </c>
      <c r="D19" s="232">
        <v>29396</v>
      </c>
      <c r="E19" s="232">
        <v>37374</v>
      </c>
      <c r="F19" s="232">
        <v>43095</v>
      </c>
      <c r="G19" s="233">
        <v>46209</v>
      </c>
    </row>
    <row r="20" spans="2:9">
      <c r="B20" s="229" t="s">
        <v>356</v>
      </c>
      <c r="C20" s="232">
        <v>18498</v>
      </c>
      <c r="D20" s="232">
        <v>18661</v>
      </c>
      <c r="E20" s="232">
        <v>14966</v>
      </c>
      <c r="F20" s="232">
        <v>14269</v>
      </c>
      <c r="G20" s="233">
        <v>19119</v>
      </c>
    </row>
    <row r="21" spans="2:9">
      <c r="B21" s="248" t="s">
        <v>350</v>
      </c>
      <c r="C21" s="272">
        <f>SUM(C18:C20)</f>
        <v>69751</v>
      </c>
      <c r="D21" s="272">
        <f t="shared" ref="D21:G21" si="4">SUM(D18:D20)</f>
        <v>77340</v>
      </c>
      <c r="E21" s="272">
        <f t="shared" si="4"/>
        <v>89002</v>
      </c>
      <c r="F21" s="272">
        <f t="shared" si="4"/>
        <v>100926</v>
      </c>
      <c r="G21" s="272">
        <f t="shared" si="4"/>
        <v>110536</v>
      </c>
    </row>
    <row r="22" spans="2:9">
      <c r="B22" s="248" t="s">
        <v>438</v>
      </c>
      <c r="C22" s="313">
        <f>C17/C21*100</f>
        <v>66.740261788361451</v>
      </c>
      <c r="D22" s="313">
        <f t="shared" ref="D22:G22" si="5">D17/D21*100</f>
        <v>68.514352211016288</v>
      </c>
      <c r="E22" s="313">
        <f t="shared" si="5"/>
        <v>59.042493427113996</v>
      </c>
      <c r="F22" s="313">
        <f t="shared" si="5"/>
        <v>48.074827101044335</v>
      </c>
      <c r="G22" s="313">
        <f t="shared" si="5"/>
        <v>47.346565824708691</v>
      </c>
    </row>
    <row r="23" spans="2:9" ht="15.75" customHeight="1"/>
    <row r="26" spans="2:9">
      <c r="B26" s="16" t="s">
        <v>365</v>
      </c>
      <c r="I26" s="16" t="s">
        <v>440</v>
      </c>
    </row>
    <row r="28" spans="2:9">
      <c r="B28" s="248" t="s">
        <v>347</v>
      </c>
      <c r="C28" s="249">
        <v>2002</v>
      </c>
      <c r="D28" s="249">
        <v>2003</v>
      </c>
      <c r="E28" s="249">
        <v>2004</v>
      </c>
      <c r="F28" s="249">
        <v>2005</v>
      </c>
      <c r="G28" s="249">
        <v>2006</v>
      </c>
    </row>
    <row r="29" spans="2:9">
      <c r="B29" s="229" t="s">
        <v>268</v>
      </c>
      <c r="C29" s="230">
        <v>95258</v>
      </c>
      <c r="D29" s="230">
        <v>119053.505</v>
      </c>
      <c r="E29" s="230">
        <v>134771.85700000002</v>
      </c>
      <c r="F29" s="230">
        <v>154213.83600000001</v>
      </c>
      <c r="G29" s="230">
        <v>163022.72500000001</v>
      </c>
    </row>
    <row r="30" spans="2:9">
      <c r="B30" s="229" t="s">
        <v>355</v>
      </c>
      <c r="C30" s="230">
        <v>77972</v>
      </c>
      <c r="D30" s="230">
        <v>110286</v>
      </c>
      <c r="E30" s="230">
        <v>116276</v>
      </c>
      <c r="F30" s="230">
        <v>111887</v>
      </c>
      <c r="G30" s="231">
        <v>122053</v>
      </c>
    </row>
    <row r="31" spans="2:9">
      <c r="B31" s="229" t="s">
        <v>353</v>
      </c>
      <c r="C31" s="230">
        <v>1455</v>
      </c>
      <c r="D31" s="230">
        <v>1112</v>
      </c>
      <c r="E31" s="230">
        <v>985</v>
      </c>
      <c r="F31" s="230">
        <v>845</v>
      </c>
      <c r="G31" s="230">
        <v>716</v>
      </c>
    </row>
    <row r="32" spans="2:9">
      <c r="B32" s="229" t="s">
        <v>300</v>
      </c>
      <c r="C32" s="230">
        <v>3235</v>
      </c>
      <c r="D32" s="230">
        <v>4428</v>
      </c>
      <c r="E32" s="230">
        <v>4949</v>
      </c>
      <c r="F32" s="230">
        <v>5739</v>
      </c>
      <c r="G32" s="230">
        <v>6574</v>
      </c>
    </row>
    <row r="33" spans="2:9">
      <c r="B33" s="229" t="s">
        <v>352</v>
      </c>
      <c r="C33" s="234">
        <v>4835</v>
      </c>
      <c r="D33" s="234">
        <v>15235</v>
      </c>
      <c r="E33" s="234">
        <v>18206</v>
      </c>
      <c r="F33" s="234">
        <v>10183</v>
      </c>
      <c r="G33" s="234">
        <v>18932</v>
      </c>
    </row>
    <row r="34" spans="2:9">
      <c r="B34" s="248" t="s">
        <v>358</v>
      </c>
      <c r="C34" s="272">
        <f>SUM(C31:C33)</f>
        <v>9525</v>
      </c>
      <c r="D34" s="272">
        <f t="shared" ref="D34:G34" si="6">SUM(D31:D33)</f>
        <v>20775</v>
      </c>
      <c r="E34" s="272">
        <f t="shared" si="6"/>
        <v>24140</v>
      </c>
      <c r="F34" s="272">
        <f t="shared" si="6"/>
        <v>16767</v>
      </c>
      <c r="G34" s="272">
        <f t="shared" si="6"/>
        <v>26222</v>
      </c>
    </row>
    <row r="35" spans="2:9">
      <c r="B35" s="248" t="s">
        <v>357</v>
      </c>
      <c r="C35" s="313">
        <f>C29/(C30-C34)*100</f>
        <v>139.17045305126595</v>
      </c>
      <c r="D35" s="313">
        <f t="shared" ref="D35:G35" si="7">D29/(D30-D34)*100</f>
        <v>133.00432907687323</v>
      </c>
      <c r="E35" s="313">
        <f t="shared" si="7"/>
        <v>146.27491642788922</v>
      </c>
      <c r="F35" s="313">
        <f t="shared" si="7"/>
        <v>162.12556349873844</v>
      </c>
      <c r="G35" s="313">
        <f t="shared" si="7"/>
        <v>170.1148114910624</v>
      </c>
    </row>
    <row r="42" spans="2:9">
      <c r="B42" s="16" t="s">
        <v>366</v>
      </c>
      <c r="I42" s="16" t="s">
        <v>441</v>
      </c>
    </row>
    <row r="44" spans="2:9">
      <c r="B44" s="248" t="s">
        <v>347</v>
      </c>
      <c r="C44" s="249">
        <v>2002</v>
      </c>
      <c r="D44" s="249">
        <v>2003</v>
      </c>
      <c r="E44" s="249">
        <v>2004</v>
      </c>
      <c r="F44" s="249">
        <v>2005</v>
      </c>
      <c r="G44" s="249">
        <v>2006</v>
      </c>
    </row>
    <row r="45" spans="2:9">
      <c r="B45" s="229" t="s">
        <v>268</v>
      </c>
      <c r="C45" s="230">
        <v>95258</v>
      </c>
      <c r="D45" s="230">
        <v>119053.505</v>
      </c>
      <c r="E45" s="230">
        <v>134771.85700000002</v>
      </c>
      <c r="F45" s="230">
        <v>154213.83600000001</v>
      </c>
      <c r="G45" s="230">
        <v>163022.72500000001</v>
      </c>
    </row>
    <row r="46" spans="2:9">
      <c r="B46" s="229" t="s">
        <v>275</v>
      </c>
      <c r="C46" s="230">
        <v>56077</v>
      </c>
      <c r="D46" s="230">
        <v>73764</v>
      </c>
      <c r="E46" s="230">
        <v>76689</v>
      </c>
      <c r="F46" s="230">
        <v>65287</v>
      </c>
      <c r="G46" s="230">
        <v>78557</v>
      </c>
    </row>
    <row r="47" spans="2:9">
      <c r="B47" s="248" t="s">
        <v>361</v>
      </c>
      <c r="C47" s="313">
        <f>C45/C46*100</f>
        <v>169.87000017832622</v>
      </c>
      <c r="D47" s="313">
        <f t="shared" ref="D47:G47" si="8">D45/D46*100</f>
        <v>161.39784312130578</v>
      </c>
      <c r="E47" s="313">
        <f t="shared" si="8"/>
        <v>175.73818539816665</v>
      </c>
      <c r="F47" s="313">
        <f t="shared" si="8"/>
        <v>236.2091013524898</v>
      </c>
      <c r="G47" s="313">
        <f t="shared" si="8"/>
        <v>207.52157668953751</v>
      </c>
    </row>
    <row r="48" spans="2:9" s="73" customFormat="1">
      <c r="B48" s="235"/>
      <c r="C48" s="236"/>
      <c r="D48" s="236"/>
      <c r="E48" s="236"/>
      <c r="F48" s="236"/>
      <c r="G48" s="236"/>
    </row>
    <row r="49" spans="2:7" s="73" customFormat="1">
      <c r="B49" s="235"/>
      <c r="C49" s="236"/>
      <c r="D49" s="236"/>
      <c r="E49" s="236"/>
      <c r="F49" s="236"/>
      <c r="G49" s="236"/>
    </row>
    <row r="50" spans="2:7" s="73" customFormat="1">
      <c r="B50" s="235"/>
      <c r="C50" s="236"/>
      <c r="D50" s="236"/>
      <c r="E50" s="236"/>
      <c r="F50" s="236"/>
      <c r="G50" s="236"/>
    </row>
    <row r="55" spans="2:7">
      <c r="B55" s="16" t="s">
        <v>442</v>
      </c>
    </row>
    <row r="57" spans="2:7">
      <c r="B57" s="248" t="s">
        <v>347</v>
      </c>
      <c r="C57" s="249">
        <v>2002</v>
      </c>
      <c r="D57" s="249">
        <v>2003</v>
      </c>
      <c r="E57" s="249">
        <v>2004</v>
      </c>
      <c r="F57" s="249">
        <v>2005</v>
      </c>
      <c r="G57" s="249">
        <v>2006</v>
      </c>
    </row>
    <row r="58" spans="2:7">
      <c r="B58" s="229" t="s">
        <v>310</v>
      </c>
      <c r="C58" s="230"/>
      <c r="D58" s="237">
        <v>37.047837847852669</v>
      </c>
      <c r="E58" s="237">
        <v>40.565006075334146</v>
      </c>
      <c r="F58" s="237">
        <v>46.069891635204726</v>
      </c>
      <c r="G58" s="237">
        <v>52.045664998154493</v>
      </c>
    </row>
    <row r="59" spans="2:7">
      <c r="B59" s="229" t="s">
        <v>312</v>
      </c>
      <c r="C59" s="230"/>
      <c r="D59" s="237">
        <v>66.392633490198989</v>
      </c>
      <c r="E59" s="237">
        <v>64.117861482381528</v>
      </c>
      <c r="F59" s="237">
        <v>57.863747252712301</v>
      </c>
      <c r="G59" s="237">
        <v>58.77749645468144</v>
      </c>
    </row>
    <row r="60" spans="2:7">
      <c r="B60" s="248" t="s">
        <v>362</v>
      </c>
      <c r="C60" s="250"/>
      <c r="D60" s="251" t="s">
        <v>363</v>
      </c>
      <c r="E60" s="251" t="s">
        <v>363</v>
      </c>
      <c r="F60" s="251" t="s">
        <v>363</v>
      </c>
      <c r="G60" s="251" t="s">
        <v>363</v>
      </c>
    </row>
  </sheetData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opLeftCell="B1" workbookViewId="0">
      <selection activeCell="V15" sqref="V15"/>
    </sheetView>
  </sheetViews>
  <sheetFormatPr baseColWidth="10" defaultColWidth="8.83203125" defaultRowHeight="14" x14ac:dyDescent="0"/>
  <cols>
    <col min="2" max="2" width="21.5" customWidth="1"/>
  </cols>
  <sheetData>
    <row r="1" spans="2:9">
      <c r="B1" s="16" t="s">
        <v>443</v>
      </c>
      <c r="I1" s="16" t="s">
        <v>444</v>
      </c>
    </row>
    <row r="2" spans="2:9">
      <c r="B2" s="16"/>
    </row>
    <row r="3" spans="2:9">
      <c r="B3" s="248" t="s">
        <v>347</v>
      </c>
      <c r="C3" s="249">
        <v>2002</v>
      </c>
      <c r="D3" s="249">
        <v>2003</v>
      </c>
      <c r="E3" s="249">
        <v>2004</v>
      </c>
      <c r="F3" s="249">
        <v>2005</v>
      </c>
      <c r="G3" s="249">
        <v>2006</v>
      </c>
    </row>
    <row r="4" spans="2:9">
      <c r="B4" s="273" t="s">
        <v>386</v>
      </c>
      <c r="C4" s="274">
        <f>C5/C6</f>
        <v>0.71341863545544149</v>
      </c>
      <c r="D4" s="274">
        <f t="shared" ref="D4:G4" si="0">D5/D6</f>
        <v>0.74143394896607351</v>
      </c>
      <c r="E4" s="274">
        <f t="shared" si="0"/>
        <v>0.79180505600603668</v>
      </c>
      <c r="F4" s="274">
        <f t="shared" si="0"/>
        <v>0.75611485455409022</v>
      </c>
      <c r="G4" s="274">
        <f t="shared" si="0"/>
        <v>0.78754816393472449</v>
      </c>
    </row>
    <row r="5" spans="2:9">
      <c r="B5" s="248" t="s">
        <v>384</v>
      </c>
      <c r="C5" s="193">
        <v>26706.395000000004</v>
      </c>
      <c r="D5" s="193">
        <v>24700.505000000005</v>
      </c>
      <c r="E5" s="193">
        <v>20331.857000000004</v>
      </c>
      <c r="F5" s="193">
        <v>27043.835999999996</v>
      </c>
      <c r="G5" s="193">
        <v>19483.725000000006</v>
      </c>
    </row>
    <row r="6" spans="2:9">
      <c r="B6" s="248" t="s">
        <v>385</v>
      </c>
      <c r="C6" s="193">
        <v>37434.395000000004</v>
      </c>
      <c r="D6" s="193">
        <v>33314.505000000005</v>
      </c>
      <c r="E6" s="193">
        <v>25677.857000000004</v>
      </c>
      <c r="F6" s="193">
        <v>35766.835999999996</v>
      </c>
      <c r="G6" s="193">
        <v>24739.725000000006</v>
      </c>
    </row>
    <row r="7" spans="2:9">
      <c r="B7" s="273" t="s">
        <v>387</v>
      </c>
      <c r="C7" s="274">
        <f>C8/C9</f>
        <v>0.97367763609565994</v>
      </c>
      <c r="D7" s="274">
        <f t="shared" ref="D7:G7" si="1">D8/D9</f>
        <v>0.99673882197573238</v>
      </c>
      <c r="E7" s="274">
        <f t="shared" si="1"/>
        <v>0.96345470411311307</v>
      </c>
      <c r="F7" s="274">
        <f t="shared" si="1"/>
        <v>0.99358294759718335</v>
      </c>
      <c r="G7" s="274">
        <f t="shared" si="1"/>
        <v>0.9845980723711506</v>
      </c>
    </row>
    <row r="8" spans="2:9">
      <c r="B8" s="248" t="s">
        <v>385</v>
      </c>
      <c r="C8" s="193">
        <v>37434.395000000004</v>
      </c>
      <c r="D8" s="193">
        <v>33314.505000000005</v>
      </c>
      <c r="E8" s="193">
        <v>25677.857000000004</v>
      </c>
      <c r="F8" s="193">
        <v>35766.835999999996</v>
      </c>
      <c r="G8" s="193">
        <v>24739.725000000006</v>
      </c>
    </row>
    <row r="9" spans="2:9">
      <c r="B9" s="248" t="s">
        <v>271</v>
      </c>
      <c r="C9" s="193">
        <v>38446.395000000004</v>
      </c>
      <c r="D9" s="193">
        <v>33423.505000000005</v>
      </c>
      <c r="E9" s="193">
        <v>26651.857000000004</v>
      </c>
      <c r="F9" s="193">
        <v>35997.835999999996</v>
      </c>
      <c r="G9" s="193">
        <v>25126.725000000006</v>
      </c>
    </row>
    <row r="10" spans="2:9">
      <c r="B10" s="273" t="s">
        <v>388</v>
      </c>
      <c r="C10" s="274">
        <f>C11/C12</f>
        <v>0.14390613595445478</v>
      </c>
      <c r="D10" s="274">
        <f t="shared" ref="D10:G10" si="2">D11/D12</f>
        <v>0.12385039092896581</v>
      </c>
      <c r="E10" s="274">
        <f t="shared" si="2"/>
        <v>8.9954964898069409E-2</v>
      </c>
      <c r="F10" s="274">
        <f t="shared" si="2"/>
        <v>0.11449656966739927</v>
      </c>
      <c r="G10" s="274">
        <f t="shared" si="2"/>
        <v>8.1353647954723551E-2</v>
      </c>
    </row>
    <row r="11" spans="2:9">
      <c r="B11" s="248" t="s">
        <v>271</v>
      </c>
      <c r="C11" s="193">
        <v>38446.395000000004</v>
      </c>
      <c r="D11" s="193">
        <v>33423.505000000005</v>
      </c>
      <c r="E11" s="193">
        <v>26651.857000000004</v>
      </c>
      <c r="F11" s="193">
        <v>35997.835999999996</v>
      </c>
      <c r="G11" s="193">
        <v>25126.725000000006</v>
      </c>
    </row>
    <row r="12" spans="2:9">
      <c r="B12" s="248" t="s">
        <v>371</v>
      </c>
      <c r="C12" s="193">
        <v>267163</v>
      </c>
      <c r="D12" s="193">
        <v>269870</v>
      </c>
      <c r="E12" s="193">
        <v>296280</v>
      </c>
      <c r="F12" s="193">
        <v>314401</v>
      </c>
      <c r="G12" s="193">
        <v>308858</v>
      </c>
    </row>
    <row r="13" spans="2:9">
      <c r="B13" s="273" t="s">
        <v>307</v>
      </c>
      <c r="C13" s="274">
        <f>C14/C15</f>
        <v>1.7570617753253843</v>
      </c>
      <c r="D13" s="274">
        <f t="shared" ref="D13:G13" si="3">D14/D15</f>
        <v>1.3967920416962119</v>
      </c>
      <c r="E13" s="274">
        <f t="shared" si="3"/>
        <v>1.398404682116392</v>
      </c>
      <c r="F13" s="274">
        <f t="shared" si="3"/>
        <v>1.425822543706492</v>
      </c>
      <c r="G13" s="274">
        <f t="shared" si="3"/>
        <v>1.2763782130754608</v>
      </c>
    </row>
    <row r="14" spans="2:9">
      <c r="B14" s="248" t="s">
        <v>371</v>
      </c>
      <c r="C14" s="193">
        <v>267163</v>
      </c>
      <c r="D14" s="193">
        <v>269870</v>
      </c>
      <c r="E14" s="193">
        <v>296280</v>
      </c>
      <c r="F14" s="193">
        <v>314401</v>
      </c>
      <c r="G14" s="193">
        <v>308858</v>
      </c>
    </row>
    <row r="15" spans="2:9">
      <c r="B15" s="248" t="s">
        <v>262</v>
      </c>
      <c r="C15" s="234">
        <v>152051</v>
      </c>
      <c r="D15" s="234">
        <v>193207</v>
      </c>
      <c r="E15" s="234">
        <v>211870</v>
      </c>
      <c r="F15" s="234">
        <v>220505</v>
      </c>
      <c r="G15" s="234">
        <v>241980</v>
      </c>
    </row>
    <row r="16" spans="2:9">
      <c r="B16" s="273" t="s">
        <v>274</v>
      </c>
      <c r="C16" s="274">
        <f>C17/C18</f>
        <v>1.5961952749676287</v>
      </c>
      <c r="D16" s="274">
        <f t="shared" ref="D16:G16" si="4">D17/D18</f>
        <v>1.6228585626269465</v>
      </c>
      <c r="E16" s="274">
        <f t="shared" si="4"/>
        <v>1.5720641142460474</v>
      </c>
      <c r="F16" s="274">
        <f t="shared" si="4"/>
        <v>1.4298652165036605</v>
      </c>
      <c r="G16" s="274">
        <f t="shared" si="4"/>
        <v>1.4843329357916204</v>
      </c>
    </row>
    <row r="17" spans="2:7">
      <c r="B17" s="248" t="s">
        <v>262</v>
      </c>
      <c r="C17" s="234">
        <v>152051</v>
      </c>
      <c r="D17" s="234">
        <v>193207</v>
      </c>
      <c r="E17" s="234">
        <v>211870</v>
      </c>
      <c r="F17" s="234">
        <v>220505</v>
      </c>
      <c r="G17" s="234">
        <v>241980</v>
      </c>
    </row>
    <row r="18" spans="2:7">
      <c r="B18" s="248" t="s">
        <v>373</v>
      </c>
      <c r="C18" s="234">
        <v>95258.395000000004</v>
      </c>
      <c r="D18" s="234">
        <v>119053.505</v>
      </c>
      <c r="E18" s="234">
        <v>134771.85700000002</v>
      </c>
      <c r="F18" s="234">
        <v>154213.83600000001</v>
      </c>
      <c r="G18" s="234">
        <v>163022.72500000001</v>
      </c>
    </row>
    <row r="19" spans="2:7">
      <c r="B19" s="273" t="s">
        <v>296</v>
      </c>
      <c r="C19" s="274">
        <f>C4*C7*C10*C13*C16</f>
        <v>0.28035739002321008</v>
      </c>
      <c r="D19" s="274">
        <f t="shared" ref="D19:G19" si="5">D4*D7*D10*D13*D16</f>
        <v>0.20747398407127957</v>
      </c>
      <c r="E19" s="274">
        <f t="shared" si="5"/>
        <v>0.15086129591580832</v>
      </c>
      <c r="F19" s="274">
        <f t="shared" si="5"/>
        <v>0.17536582126132957</v>
      </c>
      <c r="G19" s="274">
        <f t="shared" si="5"/>
        <v>0.11951539271595422</v>
      </c>
    </row>
  </sheetData>
  <pageMargins left="0.7" right="0.7" top="0.78740157499999996" bottom="0.78740157499999996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66"/>
  <sheetViews>
    <sheetView topLeftCell="B46" workbookViewId="0">
      <selection activeCell="L20" sqref="L20"/>
    </sheetView>
  </sheetViews>
  <sheetFormatPr baseColWidth="10" defaultColWidth="8.83203125" defaultRowHeight="14" x14ac:dyDescent="0"/>
  <cols>
    <col min="3" max="3" width="58.6640625" bestFit="1" customWidth="1"/>
    <col min="4" max="5" width="9.1640625" customWidth="1"/>
  </cols>
  <sheetData>
    <row r="1" spans="2:17">
      <c r="B1" s="16" t="s">
        <v>258</v>
      </c>
      <c r="C1" s="16" t="s">
        <v>257</v>
      </c>
    </row>
    <row r="2" spans="2:17" ht="15" thickBot="1">
      <c r="D2" s="10"/>
      <c r="E2" s="10"/>
      <c r="F2" s="10"/>
      <c r="G2" s="10"/>
      <c r="H2" s="10"/>
    </row>
    <row r="3" spans="2:17" ht="15" thickBot="1">
      <c r="B3" s="254" t="s">
        <v>0</v>
      </c>
      <c r="C3" s="255" t="s">
        <v>250</v>
      </c>
      <c r="D3" s="256">
        <v>2002</v>
      </c>
      <c r="E3" s="256">
        <v>2003</v>
      </c>
      <c r="F3" s="256">
        <v>2004</v>
      </c>
      <c r="G3" s="256">
        <v>2005</v>
      </c>
      <c r="H3" s="256">
        <v>2006</v>
      </c>
    </row>
    <row r="4" spans="2:17" s="73" customFormat="1" ht="15" thickBot="1">
      <c r="B4" s="130" t="s">
        <v>1</v>
      </c>
      <c r="C4" s="131" t="s">
        <v>2</v>
      </c>
      <c r="D4" s="132">
        <v>43321</v>
      </c>
      <c r="E4" s="132">
        <v>37245</v>
      </c>
      <c r="F4" s="132">
        <v>42932</v>
      </c>
      <c r="G4" s="132">
        <v>41156</v>
      </c>
      <c r="H4" s="132">
        <v>44963</v>
      </c>
      <c r="I4"/>
      <c r="J4"/>
      <c r="K4"/>
      <c r="L4"/>
      <c r="M4"/>
      <c r="N4"/>
      <c r="O4"/>
      <c r="P4"/>
      <c r="Q4"/>
    </row>
    <row r="5" spans="2:17" s="73" customFormat="1" ht="15" thickBot="1">
      <c r="B5" s="130" t="s">
        <v>3</v>
      </c>
      <c r="C5" s="131" t="s">
        <v>4</v>
      </c>
      <c r="D5" s="132">
        <v>36025</v>
      </c>
      <c r="E5" s="132">
        <v>25163</v>
      </c>
      <c r="F5" s="132">
        <v>28142</v>
      </c>
      <c r="G5" s="132">
        <v>26458</v>
      </c>
      <c r="H5" s="132">
        <v>29933</v>
      </c>
      <c r="I5"/>
      <c r="J5"/>
      <c r="K5"/>
      <c r="L5"/>
      <c r="M5"/>
      <c r="N5"/>
      <c r="O5"/>
      <c r="P5"/>
      <c r="Q5"/>
    </row>
    <row r="6" spans="2:17" s="318" customFormat="1" ht="15" thickBot="1">
      <c r="B6" s="316" t="s">
        <v>5</v>
      </c>
      <c r="C6" s="317" t="s">
        <v>6</v>
      </c>
      <c r="D6" s="133">
        <f>D4-D5</f>
        <v>7296</v>
      </c>
      <c r="E6" s="133">
        <f t="shared" ref="E6:H6" si="0">E4-E5</f>
        <v>12082</v>
      </c>
      <c r="F6" s="133">
        <f t="shared" si="0"/>
        <v>14790</v>
      </c>
      <c r="G6" s="133">
        <f t="shared" si="0"/>
        <v>14698</v>
      </c>
      <c r="H6" s="133">
        <f t="shared" si="0"/>
        <v>15030</v>
      </c>
      <c r="I6" s="16"/>
      <c r="J6" s="16"/>
      <c r="K6" s="16"/>
      <c r="L6" s="16"/>
      <c r="M6" s="16"/>
      <c r="N6" s="16"/>
      <c r="O6" s="16"/>
      <c r="P6" s="16"/>
      <c r="Q6" s="16"/>
    </row>
    <row r="7" spans="2:17" s="318" customFormat="1" ht="15" thickBot="1">
      <c r="B7" s="316" t="s">
        <v>7</v>
      </c>
      <c r="C7" s="317" t="s">
        <v>8</v>
      </c>
      <c r="D7" s="133">
        <f>SUM(D8:D10)</f>
        <v>224907</v>
      </c>
      <c r="E7" s="133">
        <f t="shared" ref="E7:H7" si="1">SUM(E8:E10)</f>
        <v>233843</v>
      </c>
      <c r="F7" s="133">
        <f t="shared" si="1"/>
        <v>260125</v>
      </c>
      <c r="G7" s="133">
        <f t="shared" si="1"/>
        <v>278525</v>
      </c>
      <c r="H7" s="133">
        <f t="shared" si="1"/>
        <v>263231</v>
      </c>
      <c r="I7" s="16"/>
      <c r="J7" s="16"/>
      <c r="K7" s="16"/>
      <c r="L7" s="16"/>
      <c r="M7" s="16"/>
      <c r="N7" s="16"/>
      <c r="O7" s="16"/>
      <c r="P7" s="16"/>
      <c r="Q7" s="16"/>
    </row>
    <row r="8" spans="2:17" s="73" customFormat="1" ht="15" thickBot="1">
      <c r="B8" s="130" t="s">
        <v>9</v>
      </c>
      <c r="C8" s="131" t="s">
        <v>10</v>
      </c>
      <c r="D8" s="132">
        <v>223842</v>
      </c>
      <c r="E8" s="132">
        <v>232625</v>
      </c>
      <c r="F8" s="132">
        <v>253348</v>
      </c>
      <c r="G8" s="132">
        <v>273245</v>
      </c>
      <c r="H8" s="132">
        <v>263895</v>
      </c>
      <c r="I8"/>
      <c r="J8"/>
      <c r="K8"/>
      <c r="L8"/>
      <c r="M8"/>
      <c r="N8"/>
      <c r="O8"/>
      <c r="P8"/>
      <c r="Q8"/>
    </row>
    <row r="9" spans="2:17" s="73" customFormat="1" ht="15" thickBot="1">
      <c r="B9" s="130" t="s">
        <v>11</v>
      </c>
      <c r="C9" s="131" t="s">
        <v>12</v>
      </c>
      <c r="D9" s="132">
        <v>420</v>
      </c>
      <c r="E9" s="134">
        <v>235</v>
      </c>
      <c r="F9" s="134">
        <v>5723</v>
      </c>
      <c r="G9" s="134">
        <v>3942</v>
      </c>
      <c r="H9" s="134">
        <v>-1563</v>
      </c>
      <c r="I9"/>
      <c r="J9"/>
      <c r="K9"/>
      <c r="L9"/>
      <c r="M9"/>
      <c r="N9"/>
      <c r="O9"/>
      <c r="P9"/>
      <c r="Q9"/>
    </row>
    <row r="10" spans="2:17" s="73" customFormat="1" ht="15" thickBot="1">
      <c r="B10" s="130" t="s">
        <v>13</v>
      </c>
      <c r="C10" s="131" t="s">
        <v>14</v>
      </c>
      <c r="D10" s="132">
        <v>645</v>
      </c>
      <c r="E10" s="134">
        <v>983</v>
      </c>
      <c r="F10" s="134">
        <v>1054</v>
      </c>
      <c r="G10" s="134">
        <v>1338</v>
      </c>
      <c r="H10" s="134">
        <v>899</v>
      </c>
      <c r="I10"/>
      <c r="J10"/>
      <c r="K10"/>
      <c r="L10"/>
      <c r="M10"/>
      <c r="N10"/>
      <c r="O10"/>
      <c r="P10"/>
      <c r="Q10"/>
    </row>
    <row r="11" spans="2:17" s="318" customFormat="1" ht="15" thickBot="1">
      <c r="B11" s="316" t="s">
        <v>15</v>
      </c>
      <c r="C11" s="317" t="s">
        <v>16</v>
      </c>
      <c r="D11" s="133">
        <f>SUM(D12:D13)</f>
        <v>133900</v>
      </c>
      <c r="E11" s="133">
        <f t="shared" ref="E11:H11" si="2">SUM(E12:E13)</f>
        <v>139788</v>
      </c>
      <c r="F11" s="133">
        <f t="shared" si="2"/>
        <v>159790</v>
      </c>
      <c r="G11" s="133">
        <f t="shared" si="2"/>
        <v>158259</v>
      </c>
      <c r="H11" s="133">
        <f t="shared" si="2"/>
        <v>151370</v>
      </c>
      <c r="I11" s="16"/>
      <c r="J11" s="16"/>
      <c r="K11" s="16"/>
      <c r="L11" s="16"/>
      <c r="M11" s="16"/>
      <c r="N11" s="16"/>
      <c r="O11" s="16"/>
      <c r="P11" s="16"/>
      <c r="Q11" s="16"/>
    </row>
    <row r="12" spans="2:17" s="73" customFormat="1" ht="15" thickBot="1">
      <c r="B12" s="130" t="s">
        <v>9</v>
      </c>
      <c r="C12" s="131" t="s">
        <v>17</v>
      </c>
      <c r="D12" s="132">
        <v>84935</v>
      </c>
      <c r="E12" s="132">
        <v>95843</v>
      </c>
      <c r="F12" s="132">
        <v>106945</v>
      </c>
      <c r="G12" s="132">
        <v>101328</v>
      </c>
      <c r="H12" s="132">
        <v>95045</v>
      </c>
      <c r="I12"/>
      <c r="J12"/>
      <c r="K12"/>
      <c r="L12"/>
      <c r="M12"/>
      <c r="N12"/>
      <c r="O12"/>
      <c r="P12"/>
      <c r="Q12"/>
    </row>
    <row r="13" spans="2:17" s="73" customFormat="1" ht="15" thickBot="1">
      <c r="B13" s="130" t="s">
        <v>11</v>
      </c>
      <c r="C13" s="131" t="s">
        <v>18</v>
      </c>
      <c r="D13" s="132">
        <v>48965</v>
      </c>
      <c r="E13" s="132">
        <v>43945</v>
      </c>
      <c r="F13" s="132">
        <v>52845</v>
      </c>
      <c r="G13" s="132">
        <v>56931</v>
      </c>
      <c r="H13" s="132">
        <v>56325</v>
      </c>
      <c r="I13"/>
      <c r="J13"/>
      <c r="K13"/>
      <c r="L13"/>
      <c r="M13"/>
      <c r="N13"/>
      <c r="O13"/>
      <c r="P13"/>
      <c r="Q13"/>
    </row>
    <row r="14" spans="2:17" s="318" customFormat="1" ht="15" thickBot="1">
      <c r="B14" s="316" t="s">
        <v>5</v>
      </c>
      <c r="C14" s="317" t="s">
        <v>19</v>
      </c>
      <c r="D14" s="133">
        <f>D6+D7-D11</f>
        <v>98303</v>
      </c>
      <c r="E14" s="133">
        <f t="shared" ref="E14:H14" si="3">E6+E7-E11</f>
        <v>106137</v>
      </c>
      <c r="F14" s="133">
        <f t="shared" si="3"/>
        <v>115125</v>
      </c>
      <c r="G14" s="133">
        <f t="shared" si="3"/>
        <v>134964</v>
      </c>
      <c r="H14" s="133">
        <f t="shared" si="3"/>
        <v>126891</v>
      </c>
      <c r="I14" s="16"/>
      <c r="J14" s="16"/>
      <c r="K14" s="16"/>
      <c r="L14" s="16"/>
      <c r="M14" s="16"/>
      <c r="N14" s="16"/>
      <c r="O14" s="16"/>
      <c r="P14" s="16"/>
      <c r="Q14" s="16"/>
    </row>
    <row r="15" spans="2:17" s="318" customFormat="1" ht="15" thickBot="1">
      <c r="B15" s="316" t="s">
        <v>20</v>
      </c>
      <c r="C15" s="317" t="s">
        <v>21</v>
      </c>
      <c r="D15" s="133">
        <f>SUM(D16:D19)</f>
        <v>53818.604999999996</v>
      </c>
      <c r="E15" s="133">
        <f>SUM(E16:E19)</f>
        <v>60111.495000000003</v>
      </c>
      <c r="F15" s="133">
        <f t="shared" ref="F15:H15" si="4">SUM(F16:F19)</f>
        <v>68458.142999999996</v>
      </c>
      <c r="G15" s="133">
        <f t="shared" si="4"/>
        <v>78262.164000000004</v>
      </c>
      <c r="H15" s="133">
        <f t="shared" si="4"/>
        <v>83665.274999999994</v>
      </c>
      <c r="I15" s="16"/>
      <c r="J15" s="16"/>
      <c r="K15" s="16"/>
      <c r="L15" s="16"/>
      <c r="M15" s="16"/>
      <c r="N15" s="16"/>
      <c r="O15" s="16"/>
      <c r="P15" s="16"/>
      <c r="Q15" s="16"/>
    </row>
    <row r="16" spans="2:17" s="73" customFormat="1" ht="14.25" customHeight="1" thickBot="1">
      <c r="B16" s="130" t="s">
        <v>9</v>
      </c>
      <c r="C16" s="131" t="s">
        <v>22</v>
      </c>
      <c r="D16" s="132">
        <v>39255</v>
      </c>
      <c r="E16" s="132">
        <v>43845</v>
      </c>
      <c r="F16" s="132">
        <v>49933</v>
      </c>
      <c r="G16" s="132">
        <f>56984+100</f>
        <v>57084</v>
      </c>
      <c r="H16" s="132">
        <v>61025</v>
      </c>
      <c r="I16"/>
      <c r="J16"/>
      <c r="K16"/>
      <c r="L16"/>
      <c r="M16"/>
      <c r="N16"/>
      <c r="O16"/>
      <c r="P16"/>
      <c r="Q16"/>
    </row>
    <row r="17" spans="2:17" s="73" customFormat="1" ht="15" thickBot="1">
      <c r="B17" s="130" t="s">
        <v>11</v>
      </c>
      <c r="C17" s="131" t="s">
        <v>23</v>
      </c>
      <c r="D17" s="132">
        <v>0</v>
      </c>
      <c r="E17" s="134">
        <v>0</v>
      </c>
      <c r="F17" s="134">
        <v>0</v>
      </c>
      <c r="G17" s="134">
        <v>0</v>
      </c>
      <c r="H17" s="134">
        <v>0</v>
      </c>
      <c r="I17"/>
      <c r="J17"/>
      <c r="K17"/>
      <c r="L17"/>
      <c r="M17"/>
      <c r="N17"/>
      <c r="O17"/>
      <c r="P17"/>
      <c r="Q17"/>
    </row>
    <row r="18" spans="2:17" s="73" customFormat="1" ht="15" thickBot="1">
      <c r="B18" s="130" t="s">
        <v>13</v>
      </c>
      <c r="C18" s="131" t="s">
        <v>24</v>
      </c>
      <c r="D18" s="132">
        <f>0.34*D16</f>
        <v>13346.7</v>
      </c>
      <c r="E18" s="132">
        <f t="shared" ref="E18:H18" si="5">0.34*E16</f>
        <v>14907.300000000001</v>
      </c>
      <c r="F18" s="132">
        <f t="shared" si="5"/>
        <v>16977.22</v>
      </c>
      <c r="G18" s="132">
        <f t="shared" si="5"/>
        <v>19408.560000000001</v>
      </c>
      <c r="H18" s="132">
        <f t="shared" si="5"/>
        <v>20748.5</v>
      </c>
      <c r="I18"/>
      <c r="J18"/>
      <c r="K18"/>
      <c r="L18"/>
      <c r="M18"/>
      <c r="N18"/>
      <c r="O18"/>
      <c r="P18"/>
      <c r="Q18"/>
    </row>
    <row r="19" spans="2:17" s="73" customFormat="1" ht="15" thickBot="1">
      <c r="B19" s="130" t="s">
        <v>25</v>
      </c>
      <c r="C19" s="131" t="s">
        <v>26</v>
      </c>
      <c r="D19" s="132">
        <f>0.031*D16</f>
        <v>1216.905</v>
      </c>
      <c r="E19" s="132">
        <f t="shared" ref="E19:H19" si="6">0.031*E16</f>
        <v>1359.1949999999999</v>
      </c>
      <c r="F19" s="132">
        <f t="shared" si="6"/>
        <v>1547.923</v>
      </c>
      <c r="G19" s="132">
        <f t="shared" si="6"/>
        <v>1769.604</v>
      </c>
      <c r="H19" s="132">
        <f t="shared" si="6"/>
        <v>1891.7750000000001</v>
      </c>
      <c r="I19"/>
      <c r="J19"/>
      <c r="K19"/>
      <c r="L19"/>
      <c r="M19"/>
      <c r="N19"/>
      <c r="O19"/>
      <c r="P19"/>
      <c r="Q19"/>
    </row>
    <row r="20" spans="2:17" s="73" customFormat="1" ht="15" thickBot="1">
      <c r="B20" s="130" t="s">
        <v>27</v>
      </c>
      <c r="C20" s="131" t="s">
        <v>28</v>
      </c>
      <c r="D20" s="132">
        <v>148</v>
      </c>
      <c r="E20" s="134">
        <v>195</v>
      </c>
      <c r="F20" s="134">
        <v>238</v>
      </c>
      <c r="G20" s="134">
        <v>242</v>
      </c>
      <c r="H20" s="134">
        <v>328</v>
      </c>
      <c r="I20"/>
      <c r="J20"/>
      <c r="K20"/>
      <c r="L20"/>
      <c r="M20"/>
      <c r="N20"/>
      <c r="O20"/>
      <c r="P20"/>
      <c r="Q20"/>
    </row>
    <row r="21" spans="2:17" s="73" customFormat="1" ht="15" thickBot="1">
      <c r="B21" s="130" t="s">
        <v>29</v>
      </c>
      <c r="C21" s="131" t="s">
        <v>30</v>
      </c>
      <c r="D21" s="132">
        <v>9996</v>
      </c>
      <c r="E21" s="132">
        <v>12345</v>
      </c>
      <c r="F21" s="132">
        <v>17021</v>
      </c>
      <c r="G21" s="132">
        <v>18145</v>
      </c>
      <c r="H21" s="132">
        <v>17121</v>
      </c>
    </row>
    <row r="22" spans="2:17" s="73" customFormat="1" ht="15" thickBot="1">
      <c r="B22" s="130" t="s">
        <v>31</v>
      </c>
      <c r="C22" s="131" t="s">
        <v>32</v>
      </c>
      <c r="D22" s="133">
        <f>SUM(D23:D24)</f>
        <v>2759</v>
      </c>
      <c r="E22" s="133">
        <f t="shared" ref="E22:H22" si="7">SUM(E23:E24)</f>
        <v>4263</v>
      </c>
      <c r="F22" s="133">
        <f t="shared" si="7"/>
        <v>1017</v>
      </c>
      <c r="G22" s="133">
        <f t="shared" si="7"/>
        <v>6014</v>
      </c>
      <c r="H22" s="133">
        <f t="shared" si="7"/>
        <v>5728</v>
      </c>
      <c r="I22"/>
      <c r="J22"/>
      <c r="K22"/>
      <c r="L22"/>
      <c r="M22"/>
      <c r="N22"/>
      <c r="O22"/>
      <c r="P22"/>
      <c r="Q22"/>
    </row>
    <row r="23" spans="2:17" s="73" customFormat="1" ht="15" thickBot="1">
      <c r="B23" s="130" t="s">
        <v>9</v>
      </c>
      <c r="C23" s="131" t="s">
        <v>33</v>
      </c>
      <c r="D23" s="132">
        <v>933</v>
      </c>
      <c r="E23" s="134">
        <v>3328</v>
      </c>
      <c r="F23" s="134">
        <v>295</v>
      </c>
      <c r="G23" s="134">
        <v>5366</v>
      </c>
      <c r="H23" s="134">
        <v>4935</v>
      </c>
      <c r="I23"/>
      <c r="J23"/>
      <c r="K23"/>
      <c r="L23"/>
      <c r="M23"/>
      <c r="N23"/>
      <c r="O23"/>
      <c r="P23"/>
      <c r="Q23"/>
    </row>
    <row r="24" spans="2:17" s="73" customFormat="1" ht="15" thickBot="1">
      <c r="B24" s="130" t="s">
        <v>11</v>
      </c>
      <c r="C24" s="131" t="s">
        <v>34</v>
      </c>
      <c r="D24" s="132">
        <v>1826</v>
      </c>
      <c r="E24" s="132">
        <v>935</v>
      </c>
      <c r="F24" s="134">
        <v>722</v>
      </c>
      <c r="G24" s="132">
        <v>648</v>
      </c>
      <c r="H24" s="134">
        <v>793</v>
      </c>
      <c r="I24"/>
      <c r="J24"/>
      <c r="K24"/>
      <c r="L24"/>
      <c r="M24"/>
      <c r="N24"/>
      <c r="O24"/>
      <c r="P24"/>
      <c r="Q24"/>
    </row>
    <row r="25" spans="2:17" s="318" customFormat="1" ht="15" thickBot="1">
      <c r="B25" s="316" t="s">
        <v>35</v>
      </c>
      <c r="C25" s="317" t="s">
        <v>36</v>
      </c>
      <c r="D25" s="133">
        <f>SUM(D26:D27)</f>
        <v>1712</v>
      </c>
      <c r="E25" s="133">
        <f t="shared" ref="E25:H25" si="8">SUM(E26:E27)</f>
        <v>2758</v>
      </c>
      <c r="F25" s="133">
        <f t="shared" si="8"/>
        <v>561</v>
      </c>
      <c r="G25" s="133">
        <f t="shared" si="8"/>
        <v>5358</v>
      </c>
      <c r="H25" s="133">
        <f t="shared" si="8"/>
        <v>3622</v>
      </c>
      <c r="I25" s="16"/>
      <c r="J25" s="16"/>
      <c r="K25" s="16"/>
      <c r="L25" s="16"/>
      <c r="M25" s="16"/>
      <c r="N25" s="16"/>
      <c r="O25" s="16"/>
      <c r="P25" s="16"/>
      <c r="Q25" s="16"/>
    </row>
    <row r="26" spans="2:17" s="73" customFormat="1" ht="15" thickBot="1">
      <c r="B26" s="130" t="s">
        <v>9</v>
      </c>
      <c r="C26" s="131" t="s">
        <v>37</v>
      </c>
      <c r="D26" s="132">
        <v>128</v>
      </c>
      <c r="E26" s="134">
        <v>2133</v>
      </c>
      <c r="F26" s="134">
        <v>48</v>
      </c>
      <c r="G26" s="134">
        <v>4935</v>
      </c>
      <c r="H26" s="134">
        <v>3026</v>
      </c>
      <c r="I26"/>
      <c r="J26"/>
      <c r="K26"/>
      <c r="L26"/>
      <c r="M26"/>
      <c r="N26"/>
      <c r="O26"/>
      <c r="P26"/>
      <c r="Q26"/>
    </row>
    <row r="27" spans="2:17" s="73" customFormat="1" ht="15" thickBot="1">
      <c r="B27" s="130" t="s">
        <v>11</v>
      </c>
      <c r="C27" s="131" t="s">
        <v>38</v>
      </c>
      <c r="D27" s="132">
        <v>1584</v>
      </c>
      <c r="E27" s="132">
        <v>625</v>
      </c>
      <c r="F27" s="134">
        <v>513</v>
      </c>
      <c r="G27" s="132">
        <v>423</v>
      </c>
      <c r="H27" s="134">
        <v>596</v>
      </c>
      <c r="I27"/>
      <c r="J27"/>
      <c r="K27"/>
      <c r="L27"/>
      <c r="M27"/>
      <c r="N27"/>
      <c r="O27"/>
      <c r="P27"/>
      <c r="Q27"/>
    </row>
    <row r="28" spans="2:17" s="73" customFormat="1" ht="29" thickBot="1">
      <c r="B28" s="130" t="s">
        <v>39</v>
      </c>
      <c r="C28" s="135" t="s">
        <v>40</v>
      </c>
      <c r="D28" s="132">
        <v>-3695</v>
      </c>
      <c r="E28" s="132">
        <v>-1293</v>
      </c>
      <c r="F28" s="134">
        <v>-542</v>
      </c>
      <c r="G28" s="132">
        <v>726</v>
      </c>
      <c r="H28" s="134">
        <v>-93</v>
      </c>
      <c r="I28"/>
      <c r="J28"/>
      <c r="K28"/>
      <c r="L28"/>
      <c r="M28"/>
      <c r="N28"/>
      <c r="O28"/>
      <c r="P28"/>
      <c r="Q28"/>
    </row>
    <row r="29" spans="2:17" s="73" customFormat="1" ht="15" thickBot="1">
      <c r="B29" s="130" t="s">
        <v>41</v>
      </c>
      <c r="C29" s="131" t="s">
        <v>42</v>
      </c>
      <c r="D29" s="132">
        <v>19625</v>
      </c>
      <c r="E29" s="134">
        <v>30942</v>
      </c>
      <c r="F29" s="134">
        <v>8263</v>
      </c>
      <c r="G29" s="134">
        <v>4155</v>
      </c>
      <c r="H29" s="134">
        <v>1563</v>
      </c>
      <c r="I29"/>
      <c r="J29"/>
      <c r="K29"/>
      <c r="L29"/>
      <c r="M29"/>
      <c r="N29"/>
      <c r="O29"/>
      <c r="P29"/>
      <c r="Q29"/>
    </row>
    <row r="30" spans="2:17" s="73" customFormat="1" ht="15" thickBot="1">
      <c r="B30" s="130" t="s">
        <v>43</v>
      </c>
      <c r="C30" s="131" t="s">
        <v>44</v>
      </c>
      <c r="D30" s="132">
        <v>17845</v>
      </c>
      <c r="E30" s="132">
        <v>30942</v>
      </c>
      <c r="F30" s="134">
        <v>8963</v>
      </c>
      <c r="G30" s="132">
        <v>3325</v>
      </c>
      <c r="H30" s="134">
        <v>985</v>
      </c>
      <c r="I30"/>
      <c r="J30"/>
      <c r="K30"/>
      <c r="L30"/>
      <c r="M30"/>
      <c r="N30"/>
      <c r="O30"/>
      <c r="P30"/>
      <c r="Q30"/>
    </row>
    <row r="31" spans="2:17" s="73" customFormat="1" ht="15" thickBot="1">
      <c r="B31" s="130" t="s">
        <v>45</v>
      </c>
      <c r="C31" s="131" t="s">
        <v>46</v>
      </c>
      <c r="D31" s="132">
        <v>0</v>
      </c>
      <c r="E31" s="134">
        <v>0</v>
      </c>
      <c r="F31" s="134">
        <v>0</v>
      </c>
      <c r="G31" s="134">
        <v>0</v>
      </c>
      <c r="H31" s="134">
        <v>0</v>
      </c>
      <c r="I31"/>
      <c r="J31"/>
      <c r="K31"/>
      <c r="L31"/>
      <c r="M31"/>
      <c r="N31"/>
      <c r="O31"/>
      <c r="P31"/>
      <c r="Q31"/>
    </row>
    <row r="32" spans="2:17" s="73" customFormat="1" ht="15" thickBot="1">
      <c r="B32" s="130" t="s">
        <v>1</v>
      </c>
      <c r="C32" s="131" t="s">
        <v>47</v>
      </c>
      <c r="D32" s="132">
        <v>0</v>
      </c>
      <c r="E32" s="134">
        <v>0</v>
      </c>
      <c r="F32" s="134">
        <v>0</v>
      </c>
      <c r="G32" s="134">
        <v>0</v>
      </c>
      <c r="H32" s="134">
        <v>0</v>
      </c>
      <c r="I32"/>
      <c r="J32"/>
      <c r="K32"/>
      <c r="L32"/>
      <c r="M32"/>
      <c r="N32"/>
      <c r="O32"/>
      <c r="P32"/>
      <c r="Q32"/>
    </row>
    <row r="33" spans="2:17" s="73" customFormat="1" ht="15" thickBot="1">
      <c r="B33" s="130" t="s">
        <v>48</v>
      </c>
      <c r="C33" s="136" t="s">
        <v>49</v>
      </c>
      <c r="D33" s="133">
        <f>D14-D15-D20-D21+D22-D25-D28+D29-D30</f>
        <v>40862.395000000004</v>
      </c>
      <c r="E33" s="133">
        <f>E14-E15-E20-E21+E22-E25-E28+E29-E30</f>
        <v>36283.505000000005</v>
      </c>
      <c r="F33" s="133">
        <f t="shared" ref="F33:H33" si="9">F14-F15-F20-F21+F22-F25-F28+F29-F30</f>
        <v>29705.857000000004</v>
      </c>
      <c r="G33" s="133">
        <f t="shared" si="9"/>
        <v>39074.835999999996</v>
      </c>
      <c r="H33" s="133">
        <f t="shared" si="9"/>
        <v>28553.725000000006</v>
      </c>
      <c r="I33"/>
      <c r="J33"/>
      <c r="K33"/>
      <c r="L33"/>
      <c r="M33"/>
      <c r="N33"/>
      <c r="O33"/>
      <c r="P33"/>
      <c r="Q33"/>
    </row>
    <row r="34" spans="2:17" s="73" customFormat="1" ht="15" thickBot="1">
      <c r="B34" s="130" t="s">
        <v>50</v>
      </c>
      <c r="C34" s="131" t="s">
        <v>51</v>
      </c>
      <c r="D34" s="132">
        <v>0</v>
      </c>
      <c r="E34" s="134">
        <v>0</v>
      </c>
      <c r="F34" s="134">
        <v>0</v>
      </c>
      <c r="G34" s="134">
        <v>0</v>
      </c>
      <c r="H34" s="134">
        <v>0</v>
      </c>
      <c r="I34"/>
      <c r="J34"/>
      <c r="K34"/>
      <c r="L34"/>
      <c r="M34"/>
      <c r="N34"/>
      <c r="O34"/>
      <c r="P34"/>
      <c r="Q34"/>
    </row>
    <row r="35" spans="2:17" ht="15" thickBot="1">
      <c r="B35" s="9" t="s">
        <v>52</v>
      </c>
      <c r="C35" s="5" t="s">
        <v>53</v>
      </c>
      <c r="D35" s="11">
        <v>0</v>
      </c>
      <c r="E35" s="7">
        <v>0</v>
      </c>
      <c r="F35" s="7">
        <v>0</v>
      </c>
      <c r="G35" s="7">
        <v>0</v>
      </c>
      <c r="H35" s="7">
        <v>0</v>
      </c>
    </row>
    <row r="36" spans="2:17" ht="15" thickBot="1">
      <c r="B36" s="9" t="s">
        <v>54</v>
      </c>
      <c r="C36" s="5" t="s">
        <v>55</v>
      </c>
      <c r="D36" s="12">
        <f>SUM(D37:D39)</f>
        <v>0</v>
      </c>
      <c r="E36" s="12">
        <f t="shared" ref="E36:H36" si="10">SUM(E37:E39)</f>
        <v>0</v>
      </c>
      <c r="F36" s="12">
        <f t="shared" si="10"/>
        <v>0</v>
      </c>
      <c r="G36" s="12">
        <f t="shared" si="10"/>
        <v>0</v>
      </c>
      <c r="H36" s="12">
        <f t="shared" si="10"/>
        <v>0</v>
      </c>
    </row>
    <row r="37" spans="2:17" ht="29" thickBot="1">
      <c r="B37" s="9" t="s">
        <v>9</v>
      </c>
      <c r="C37" s="13" t="s">
        <v>56</v>
      </c>
      <c r="D37" s="11">
        <v>0</v>
      </c>
      <c r="E37" s="7">
        <v>0</v>
      </c>
      <c r="F37" s="7">
        <v>0</v>
      </c>
      <c r="G37" s="7">
        <v>0</v>
      </c>
      <c r="H37" s="7">
        <v>0</v>
      </c>
    </row>
    <row r="38" spans="2:17" ht="15" thickBot="1">
      <c r="B38" s="9" t="s">
        <v>11</v>
      </c>
      <c r="C38" s="5" t="s">
        <v>57</v>
      </c>
      <c r="D38" s="11">
        <v>0</v>
      </c>
      <c r="E38" s="7">
        <v>0</v>
      </c>
      <c r="F38" s="7">
        <v>0</v>
      </c>
      <c r="G38" s="7">
        <v>0</v>
      </c>
      <c r="H38" s="7">
        <v>0</v>
      </c>
    </row>
    <row r="39" spans="2:17" ht="15" thickBot="1">
      <c r="B39" s="9" t="s">
        <v>13</v>
      </c>
      <c r="C39" s="5" t="s">
        <v>58</v>
      </c>
      <c r="D39" s="11">
        <v>0</v>
      </c>
      <c r="E39" s="7">
        <v>0</v>
      </c>
      <c r="F39" s="7">
        <v>0</v>
      </c>
      <c r="G39" s="7">
        <v>0</v>
      </c>
      <c r="H39" s="7">
        <v>0</v>
      </c>
    </row>
    <row r="40" spans="2:17" ht="15" thickBot="1">
      <c r="B40" s="9" t="s">
        <v>59</v>
      </c>
      <c r="C40" s="5" t="s">
        <v>60</v>
      </c>
      <c r="D40" s="11">
        <v>0</v>
      </c>
      <c r="E40" s="7">
        <v>0</v>
      </c>
      <c r="F40" s="7">
        <v>0</v>
      </c>
      <c r="G40" s="7">
        <v>0</v>
      </c>
      <c r="H40" s="7">
        <v>0</v>
      </c>
    </row>
    <row r="41" spans="2:17" ht="15" thickBot="1">
      <c r="B41" s="9" t="s">
        <v>61</v>
      </c>
      <c r="C41" s="5" t="s">
        <v>62</v>
      </c>
      <c r="D41" s="11">
        <v>0</v>
      </c>
      <c r="E41" s="7">
        <v>0</v>
      </c>
      <c r="F41" s="7">
        <v>0</v>
      </c>
      <c r="G41" s="7">
        <v>0</v>
      </c>
      <c r="H41" s="7">
        <v>0</v>
      </c>
    </row>
    <row r="42" spans="2:17" ht="15" thickBot="1">
      <c r="B42" s="9" t="s">
        <v>63</v>
      </c>
      <c r="C42" s="5" t="s">
        <v>64</v>
      </c>
      <c r="D42" s="11">
        <v>0</v>
      </c>
      <c r="E42" s="7">
        <v>0</v>
      </c>
      <c r="F42" s="7">
        <v>0</v>
      </c>
      <c r="G42" s="7">
        <v>0</v>
      </c>
      <c r="H42" s="7">
        <v>0</v>
      </c>
    </row>
    <row r="43" spans="2:17" ht="15" thickBot="1">
      <c r="B43" s="9" t="s">
        <v>65</v>
      </c>
      <c r="C43" s="5" t="s">
        <v>66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</row>
    <row r="44" spans="2:17" ht="15" thickBot="1">
      <c r="B44" s="9" t="s">
        <v>67</v>
      </c>
      <c r="C44" s="5" t="s">
        <v>68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</row>
    <row r="45" spans="2:17" ht="15" thickBot="1">
      <c r="B45" s="9" t="s">
        <v>69</v>
      </c>
      <c r="C45" s="5" t="s">
        <v>70</v>
      </c>
      <c r="D45" s="7">
        <v>45</v>
      </c>
      <c r="E45" s="7">
        <v>33</v>
      </c>
      <c r="F45" s="7">
        <v>22</v>
      </c>
      <c r="G45" s="7">
        <v>18</v>
      </c>
      <c r="H45" s="7">
        <v>8</v>
      </c>
    </row>
    <row r="46" spans="2:17" ht="15" thickBot="1">
      <c r="B46" s="9" t="s">
        <v>71</v>
      </c>
      <c r="C46" s="5" t="s">
        <v>72</v>
      </c>
      <c r="D46" s="7">
        <v>1933</v>
      </c>
      <c r="E46" s="7">
        <v>1302</v>
      </c>
      <c r="F46" s="7">
        <v>1495</v>
      </c>
      <c r="G46" s="7">
        <v>1021</v>
      </c>
      <c r="H46" s="7">
        <v>1222</v>
      </c>
    </row>
    <row r="47" spans="2:17" ht="15" thickBot="1">
      <c r="B47" s="9" t="s">
        <v>73</v>
      </c>
      <c r="C47" s="5" t="s">
        <v>74</v>
      </c>
      <c r="D47" s="7">
        <v>593</v>
      </c>
      <c r="E47" s="7">
        <v>426</v>
      </c>
      <c r="F47" s="7">
        <v>573</v>
      </c>
      <c r="G47" s="7">
        <v>528</v>
      </c>
      <c r="H47" s="7">
        <v>321</v>
      </c>
    </row>
    <row r="48" spans="2:17" ht="15" thickBot="1">
      <c r="B48" s="9" t="s">
        <v>75</v>
      </c>
      <c r="C48" s="5" t="s">
        <v>76</v>
      </c>
      <c r="D48" s="7">
        <v>2133</v>
      </c>
      <c r="E48" s="7">
        <v>2126</v>
      </c>
      <c r="F48" s="7">
        <v>3128</v>
      </c>
      <c r="G48" s="7">
        <v>2833</v>
      </c>
      <c r="H48" s="7">
        <v>2921</v>
      </c>
    </row>
    <row r="49" spans="2:8" ht="15" thickBot="1">
      <c r="B49" s="9" t="s">
        <v>77</v>
      </c>
      <c r="C49" s="5" t="s">
        <v>78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</row>
    <row r="50" spans="2:8" ht="15" thickBot="1">
      <c r="B50" s="9" t="s">
        <v>79</v>
      </c>
      <c r="C50" s="5" t="s">
        <v>80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</row>
    <row r="51" spans="2:8" ht="15" thickBot="1">
      <c r="B51" s="9" t="s">
        <v>48</v>
      </c>
      <c r="C51" s="14" t="s">
        <v>81</v>
      </c>
      <c r="D51" s="12">
        <f>D34+D36+D40+D42-D44+D45+D47+D49-D35-D41-D43-D46-D48-D50</f>
        <v>-3428</v>
      </c>
      <c r="E51" s="12">
        <f t="shared" ref="E51:H51" si="11">E34+E36+E40+E42-E44+E45+E47+E49-E35-E41-E43-E46-E48-E50</f>
        <v>-2969</v>
      </c>
      <c r="F51" s="12">
        <f t="shared" si="11"/>
        <v>-4028</v>
      </c>
      <c r="G51" s="12">
        <f t="shared" si="11"/>
        <v>-3308</v>
      </c>
      <c r="H51" s="12">
        <f t="shared" si="11"/>
        <v>-3814</v>
      </c>
    </row>
    <row r="52" spans="2:8" ht="15" thickBot="1">
      <c r="B52" s="9" t="s">
        <v>82</v>
      </c>
      <c r="C52" s="5" t="s">
        <v>83</v>
      </c>
      <c r="D52" s="8">
        <f>SUM(D53:D54)</f>
        <v>10728</v>
      </c>
      <c r="E52" s="8">
        <f t="shared" ref="E52:H52" si="12">SUM(E53:E54)</f>
        <v>8614</v>
      </c>
      <c r="F52" s="8">
        <f t="shared" si="12"/>
        <v>5346</v>
      </c>
      <c r="G52" s="8">
        <f t="shared" si="12"/>
        <v>8723</v>
      </c>
      <c r="H52" s="8">
        <f t="shared" si="12"/>
        <v>5256</v>
      </c>
    </row>
    <row r="53" spans="2:8" ht="15" thickBot="1">
      <c r="B53" s="9" t="s">
        <v>9</v>
      </c>
      <c r="C53" s="5" t="s">
        <v>84</v>
      </c>
      <c r="D53" s="7">
        <v>9807</v>
      </c>
      <c r="E53" s="7">
        <v>7421</v>
      </c>
      <c r="F53" s="7">
        <v>4825</v>
      </c>
      <c r="G53" s="7">
        <v>7933</v>
      </c>
      <c r="H53" s="7">
        <v>4421</v>
      </c>
    </row>
    <row r="54" spans="2:8" ht="15" thickBot="1">
      <c r="B54" s="9" t="s">
        <v>11</v>
      </c>
      <c r="C54" s="5" t="s">
        <v>85</v>
      </c>
      <c r="D54" s="7">
        <v>921</v>
      </c>
      <c r="E54" s="7">
        <v>1193</v>
      </c>
      <c r="F54" s="7">
        <v>521</v>
      </c>
      <c r="G54" s="7">
        <v>790</v>
      </c>
      <c r="H54" s="7">
        <v>835</v>
      </c>
    </row>
    <row r="55" spans="2:8" ht="15" thickBot="1">
      <c r="B55" s="9" t="s">
        <v>86</v>
      </c>
      <c r="C55" s="6" t="s">
        <v>87</v>
      </c>
      <c r="D55" s="12">
        <f>D33+D51-D52</f>
        <v>26706.395000000004</v>
      </c>
      <c r="E55" s="12">
        <f t="shared" ref="E55:H55" si="13">E33+E51-E52</f>
        <v>24700.505000000005</v>
      </c>
      <c r="F55" s="12">
        <f t="shared" si="13"/>
        <v>20331.857000000004</v>
      </c>
      <c r="G55" s="12">
        <f t="shared" si="13"/>
        <v>27043.835999999996</v>
      </c>
      <c r="H55" s="12">
        <f t="shared" si="13"/>
        <v>19483.725000000006</v>
      </c>
    </row>
    <row r="56" spans="2:8" ht="15" thickBot="1">
      <c r="B56" s="9" t="s">
        <v>88</v>
      </c>
      <c r="C56" s="5" t="s">
        <v>89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</row>
    <row r="57" spans="2:8" ht="15" thickBot="1">
      <c r="B57" s="9" t="s">
        <v>90</v>
      </c>
      <c r="C57" s="5" t="s">
        <v>91</v>
      </c>
      <c r="D57" s="7">
        <v>0</v>
      </c>
      <c r="E57" s="7">
        <v>0</v>
      </c>
      <c r="F57" s="7">
        <v>0</v>
      </c>
      <c r="G57" s="7">
        <v>0</v>
      </c>
      <c r="H57" s="7">
        <v>0</v>
      </c>
    </row>
    <row r="58" spans="2:8" ht="15" thickBot="1">
      <c r="B58" s="9" t="s">
        <v>92</v>
      </c>
      <c r="C58" s="5" t="s">
        <v>93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</row>
    <row r="59" spans="2:8" ht="15" thickBot="1">
      <c r="B59" s="9" t="s">
        <v>9</v>
      </c>
      <c r="C59" s="5" t="s">
        <v>84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</row>
    <row r="60" spans="2:8" ht="15" thickBot="1">
      <c r="B60" s="9" t="s">
        <v>11</v>
      </c>
      <c r="C60" s="5" t="s">
        <v>85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</row>
    <row r="61" spans="2:8" ht="15" thickBot="1">
      <c r="B61" s="15" t="s">
        <v>48</v>
      </c>
      <c r="C61" s="14" t="s">
        <v>94</v>
      </c>
      <c r="D61" s="8">
        <f>D56-D57</f>
        <v>0</v>
      </c>
      <c r="E61" s="8">
        <f t="shared" ref="E61:H61" si="14">E56-E57</f>
        <v>0</v>
      </c>
      <c r="F61" s="8">
        <f t="shared" si="14"/>
        <v>0</v>
      </c>
      <c r="G61" s="8">
        <f t="shared" si="14"/>
        <v>0</v>
      </c>
      <c r="H61" s="8">
        <f t="shared" si="14"/>
        <v>0</v>
      </c>
    </row>
    <row r="62" spans="2:8" ht="15" thickBot="1">
      <c r="B62" s="9" t="s">
        <v>95</v>
      </c>
      <c r="C62" s="5" t="s">
        <v>96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</row>
    <row r="63" spans="2:8" ht="15" thickBot="1">
      <c r="B63" s="15" t="s">
        <v>97</v>
      </c>
      <c r="C63" s="6" t="s">
        <v>98</v>
      </c>
      <c r="D63" s="12">
        <f>D55+D61</f>
        <v>26706.395000000004</v>
      </c>
      <c r="E63" s="12">
        <f t="shared" ref="E63:H63" si="15">E55+E61</f>
        <v>24700.505000000005</v>
      </c>
      <c r="F63" s="12">
        <f t="shared" si="15"/>
        <v>20331.857000000004</v>
      </c>
      <c r="G63" s="12">
        <f t="shared" si="15"/>
        <v>27043.835999999996</v>
      </c>
      <c r="H63" s="12">
        <f t="shared" si="15"/>
        <v>19483.725000000006</v>
      </c>
    </row>
    <row r="64" spans="2:8" ht="15" thickBot="1">
      <c r="B64" s="1" t="s">
        <v>99</v>
      </c>
      <c r="C64" s="17" t="s">
        <v>100</v>
      </c>
      <c r="D64" s="12">
        <f>D33+D51+D61</f>
        <v>37434.395000000004</v>
      </c>
      <c r="E64" s="12">
        <f>E33+E51+E61</f>
        <v>33314.505000000005</v>
      </c>
      <c r="F64" s="12">
        <f t="shared" ref="F64:H64" si="16">F33+F51+F61</f>
        <v>25677.857000000004</v>
      </c>
      <c r="G64" s="12">
        <f t="shared" si="16"/>
        <v>35766.835999999996</v>
      </c>
      <c r="H64" s="12">
        <f t="shared" si="16"/>
        <v>24739.725000000006</v>
      </c>
    </row>
    <row r="66" spans="5:8">
      <c r="E66" s="10"/>
      <c r="F66" s="10"/>
      <c r="H66" s="10"/>
    </row>
  </sheetData>
  <pageMargins left="0.7" right="0.7" top="0.78740157499999996" bottom="0.78740157499999996" header="0.3" footer="0.3"/>
  <pageSetup paperSize="9" orientation="portrait"/>
  <ignoredErrors>
    <ignoredError sqref="D7 D11:H11 D52:H52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9"/>
  <sheetViews>
    <sheetView workbookViewId="0">
      <selection activeCell="D35" sqref="D35"/>
    </sheetView>
  </sheetViews>
  <sheetFormatPr baseColWidth="10" defaultColWidth="8.83203125" defaultRowHeight="14" x14ac:dyDescent="0"/>
  <cols>
    <col min="2" max="2" width="16.6640625" customWidth="1"/>
    <col min="3" max="7" width="11.1640625" customWidth="1"/>
    <col min="20" max="20" width="9.1640625" customWidth="1"/>
    <col min="21" max="21" width="5" bestFit="1" customWidth="1"/>
    <col min="22" max="22" width="5.5" bestFit="1" customWidth="1"/>
    <col min="23" max="23" width="5" bestFit="1" customWidth="1"/>
    <col min="24" max="24" width="5.5" bestFit="1" customWidth="1"/>
    <col min="25" max="25" width="5" bestFit="1" customWidth="1"/>
    <col min="26" max="26" width="5.5" bestFit="1" customWidth="1"/>
    <col min="27" max="27" width="5" bestFit="1" customWidth="1"/>
    <col min="28" max="28" width="5.5" bestFit="1" customWidth="1"/>
    <col min="29" max="29" width="5" bestFit="1" customWidth="1"/>
    <col min="30" max="30" width="5.5" bestFit="1" customWidth="1"/>
  </cols>
  <sheetData>
    <row r="1" spans="2:30">
      <c r="B1" s="16" t="s">
        <v>445</v>
      </c>
      <c r="I1" s="16" t="s">
        <v>448</v>
      </c>
      <c r="T1" s="16" t="s">
        <v>447</v>
      </c>
    </row>
    <row r="2" spans="2:30" ht="15" thickBot="1"/>
    <row r="3" spans="2:30">
      <c r="B3" s="248" t="s">
        <v>347</v>
      </c>
      <c r="C3" s="249">
        <v>2002</v>
      </c>
      <c r="D3" s="249">
        <v>2003</v>
      </c>
      <c r="E3" s="249">
        <v>2004</v>
      </c>
      <c r="F3" s="249">
        <v>2005</v>
      </c>
      <c r="G3" s="249">
        <v>2006</v>
      </c>
      <c r="T3" s="279" t="s">
        <v>347</v>
      </c>
      <c r="U3" s="280">
        <v>2002</v>
      </c>
      <c r="V3" s="280" t="s">
        <v>222</v>
      </c>
      <c r="W3" s="280">
        <v>2003</v>
      </c>
      <c r="X3" s="280" t="s">
        <v>222</v>
      </c>
      <c r="Y3" s="280">
        <v>2004</v>
      </c>
      <c r="Z3" s="280" t="s">
        <v>222</v>
      </c>
      <c r="AA3" s="280">
        <v>2005</v>
      </c>
      <c r="AB3" s="280" t="s">
        <v>222</v>
      </c>
      <c r="AC3" s="280">
        <v>2006</v>
      </c>
      <c r="AD3" s="281" t="s">
        <v>222</v>
      </c>
    </row>
    <row r="4" spans="2:30">
      <c r="B4" s="273" t="s">
        <v>369</v>
      </c>
      <c r="C4" s="274">
        <f>C5/C6*3.107</f>
        <v>0.78561107302812883</v>
      </c>
      <c r="D4" s="274">
        <f t="shared" ref="D4:G4" si="0">D5/D6*3.107</f>
        <v>0.53748999795556074</v>
      </c>
      <c r="E4" s="274">
        <f t="shared" si="0"/>
        <v>0.39084023079718705</v>
      </c>
      <c r="F4" s="274">
        <f t="shared" si="0"/>
        <v>0.50722331217886218</v>
      </c>
      <c r="G4" s="274">
        <f t="shared" si="0"/>
        <v>0.32262473995784785</v>
      </c>
      <c r="T4" s="86" t="s">
        <v>369</v>
      </c>
      <c r="U4" s="278">
        <v>0.78561107302812883</v>
      </c>
      <c r="V4" s="162">
        <f>U4/$U$9*100</f>
        <v>20.43184650661426</v>
      </c>
      <c r="W4" s="278">
        <v>0.53748999795556074</v>
      </c>
      <c r="X4" s="162">
        <f>W4/$W$9*100</f>
        <v>16.90253911491439</v>
      </c>
      <c r="Y4" s="278">
        <v>0.39084023079718705</v>
      </c>
      <c r="Z4" s="162">
        <f>Y4/$Y$9*100</f>
        <v>12.411627446775226</v>
      </c>
      <c r="AA4" s="278">
        <v>0.50722331217886218</v>
      </c>
      <c r="AB4" s="162">
        <f>AA4/$AA$9*100</f>
        <v>13.888265194853544</v>
      </c>
      <c r="AC4" s="278">
        <v>0.32262473995784785</v>
      </c>
      <c r="AD4" s="169">
        <f>AC4/$AC$9*100</f>
        <v>10.155447891769185</v>
      </c>
    </row>
    <row r="5" spans="2:30">
      <c r="B5" s="248" t="s">
        <v>271</v>
      </c>
      <c r="C5" s="193">
        <v>38446.395000000004</v>
      </c>
      <c r="D5" s="193">
        <v>33423.505000000005</v>
      </c>
      <c r="E5" s="193">
        <v>26651.857000000004</v>
      </c>
      <c r="F5" s="193">
        <v>35997.835999999996</v>
      </c>
      <c r="G5" s="193">
        <v>25126.725000000006</v>
      </c>
      <c r="T5" s="86" t="s">
        <v>370</v>
      </c>
      <c r="U5" s="278">
        <v>1.7535476517747335</v>
      </c>
      <c r="V5" s="162">
        <f t="shared" ref="V5:V9" si="1">U5/$U$9*100</f>
        <v>45.605539042360718</v>
      </c>
      <c r="W5" s="278">
        <v>1.3939984576128195</v>
      </c>
      <c r="X5" s="162">
        <f t="shared" ref="X5:X9" si="2">W5/$W$9*100</f>
        <v>43.837305895093344</v>
      </c>
      <c r="Y5" s="278">
        <v>1.3956078727521593</v>
      </c>
      <c r="Z5" s="162">
        <f t="shared" ref="Z5:Z9" si="3">Y5/$Y$9*100</f>
        <v>44.319298816950123</v>
      </c>
      <c r="AA5" s="278">
        <v>1.422970898619079</v>
      </c>
      <c r="AB5" s="162">
        <f t="shared" ref="AB5:AB9" si="4">AA5/$AA$9*100</f>
        <v>38.962320402205677</v>
      </c>
      <c r="AC5" s="278">
        <v>1.2738254566493099</v>
      </c>
      <c r="AD5" s="169">
        <f t="shared" ref="AD5:AD9" si="5">AC5/$AC$9*100</f>
        <v>40.096949942218714</v>
      </c>
    </row>
    <row r="6" spans="2:30">
      <c r="B6" s="248" t="s">
        <v>262</v>
      </c>
      <c r="C6" s="121">
        <v>152051</v>
      </c>
      <c r="D6" s="121">
        <v>193207</v>
      </c>
      <c r="E6" s="121">
        <v>211870</v>
      </c>
      <c r="F6" s="121">
        <v>220505</v>
      </c>
      <c r="G6" s="121">
        <v>241980</v>
      </c>
      <c r="T6" s="86" t="s">
        <v>372</v>
      </c>
      <c r="U6" s="278">
        <v>0.46289398665579307</v>
      </c>
      <c r="V6" s="162">
        <f t="shared" si="1"/>
        <v>12.038754555394711</v>
      </c>
      <c r="W6" s="278">
        <v>0.46862787960581137</v>
      </c>
      <c r="X6" s="162">
        <f t="shared" si="2"/>
        <v>14.737020401320139</v>
      </c>
      <c r="Y6" s="278">
        <v>0.49024160513050458</v>
      </c>
      <c r="Z6" s="162">
        <f t="shared" si="3"/>
        <v>15.568244214210267</v>
      </c>
      <c r="AA6" s="278">
        <v>0.54568931358472594</v>
      </c>
      <c r="AB6" s="162">
        <f t="shared" si="4"/>
        <v>14.941501542006808</v>
      </c>
      <c r="AC6" s="278">
        <v>0.5279826724316059</v>
      </c>
      <c r="AD6" s="169">
        <f t="shared" si="5"/>
        <v>16.619619804534413</v>
      </c>
    </row>
    <row r="7" spans="2:30">
      <c r="B7" s="273" t="s">
        <v>370</v>
      </c>
      <c r="C7" s="274">
        <f>C8/C9*0.998</f>
        <v>1.7535476517747335</v>
      </c>
      <c r="D7" s="274">
        <f t="shared" ref="D7:G7" si="6">D8/D9*0.998</f>
        <v>1.3939984576128195</v>
      </c>
      <c r="E7" s="274">
        <f t="shared" si="6"/>
        <v>1.3956078727521593</v>
      </c>
      <c r="F7" s="274">
        <f t="shared" si="6"/>
        <v>1.422970898619079</v>
      </c>
      <c r="G7" s="274">
        <f t="shared" si="6"/>
        <v>1.2738254566493099</v>
      </c>
      <c r="T7" s="86" t="s">
        <v>374</v>
      </c>
      <c r="U7" s="278">
        <v>0.73246175350591336</v>
      </c>
      <c r="V7" s="162">
        <f t="shared" si="1"/>
        <v>19.049561078503928</v>
      </c>
      <c r="W7" s="278">
        <v>0.68824632632274407</v>
      </c>
      <c r="X7" s="162">
        <f t="shared" si="2"/>
        <v>21.643398938798729</v>
      </c>
      <c r="Y7" s="278">
        <v>0.74770395144246027</v>
      </c>
      <c r="Z7" s="162">
        <f t="shared" si="3"/>
        <v>23.744287702565554</v>
      </c>
      <c r="AA7" s="278">
        <v>1.0050869172278949</v>
      </c>
      <c r="AB7" s="162">
        <f t="shared" si="4"/>
        <v>27.520252549860096</v>
      </c>
      <c r="AC7" s="278">
        <v>0.87960771958222528</v>
      </c>
      <c r="AD7" s="169">
        <f t="shared" si="5"/>
        <v>27.687927350463937</v>
      </c>
    </row>
    <row r="8" spans="2:30">
      <c r="B8" s="248" t="s">
        <v>371</v>
      </c>
      <c r="C8" s="193">
        <v>267163</v>
      </c>
      <c r="D8" s="193">
        <v>269870</v>
      </c>
      <c r="E8" s="193">
        <v>296280</v>
      </c>
      <c r="F8" s="193">
        <v>314401</v>
      </c>
      <c r="G8" s="193">
        <v>308858</v>
      </c>
      <c r="T8" s="86" t="s">
        <v>375</v>
      </c>
      <c r="U8" s="278">
        <v>0.11051771445107234</v>
      </c>
      <c r="V8" s="162">
        <f t="shared" si="1"/>
        <v>2.8742988171263772</v>
      </c>
      <c r="W8" s="278">
        <v>9.1573762855383087E-2</v>
      </c>
      <c r="X8" s="162">
        <f t="shared" si="2"/>
        <v>2.8797356498733961</v>
      </c>
      <c r="Y8" s="278">
        <v>0.12459089064048708</v>
      </c>
      <c r="Z8" s="162">
        <f t="shared" si="3"/>
        <v>3.9565418194988169</v>
      </c>
      <c r="AA8" s="278">
        <v>0.17120141039885717</v>
      </c>
      <c r="AB8" s="162">
        <f t="shared" si="4"/>
        <v>4.6876603110738735</v>
      </c>
      <c r="AC8" s="278">
        <v>0.17282313414331762</v>
      </c>
      <c r="AD8" s="169">
        <f t="shared" si="5"/>
        <v>5.44005501101375</v>
      </c>
    </row>
    <row r="9" spans="2:30" ht="15" thickBot="1">
      <c r="B9" s="248" t="s">
        <v>262</v>
      </c>
      <c r="C9" s="121">
        <v>152051</v>
      </c>
      <c r="D9" s="121">
        <v>193207</v>
      </c>
      <c r="E9" s="121">
        <v>211870</v>
      </c>
      <c r="F9" s="121">
        <v>220505</v>
      </c>
      <c r="G9" s="121">
        <v>241980</v>
      </c>
      <c r="T9" s="282" t="s">
        <v>376</v>
      </c>
      <c r="U9" s="283">
        <v>3.8450321794156412</v>
      </c>
      <c r="V9" s="284">
        <f t="shared" si="1"/>
        <v>100</v>
      </c>
      <c r="W9" s="283">
        <v>3.1799364243523187</v>
      </c>
      <c r="X9" s="284">
        <f t="shared" si="2"/>
        <v>100</v>
      </c>
      <c r="Y9" s="283">
        <v>3.1489845507627985</v>
      </c>
      <c r="Z9" s="284">
        <f t="shared" si="3"/>
        <v>100</v>
      </c>
      <c r="AA9" s="283">
        <v>3.6521718520094191</v>
      </c>
      <c r="AB9" s="284">
        <f t="shared" si="4"/>
        <v>100</v>
      </c>
      <c r="AC9" s="283">
        <v>3.1768637227643066</v>
      </c>
      <c r="AD9" s="285">
        <f t="shared" si="5"/>
        <v>100</v>
      </c>
    </row>
    <row r="10" spans="2:30">
      <c r="B10" s="273" t="s">
        <v>372</v>
      </c>
      <c r="C10" s="274">
        <f>C11/C12*0.847</f>
        <v>0.46289398665579307</v>
      </c>
      <c r="D10" s="274">
        <f t="shared" ref="D10:G10" si="7">D11/D12*0.847</f>
        <v>0.46862787960581137</v>
      </c>
      <c r="E10" s="274">
        <f t="shared" si="7"/>
        <v>0.49024160513050458</v>
      </c>
      <c r="F10" s="274">
        <f t="shared" si="7"/>
        <v>0.54568931358472594</v>
      </c>
      <c r="G10" s="274">
        <f t="shared" si="7"/>
        <v>0.5279826724316059</v>
      </c>
    </row>
    <row r="11" spans="2:30">
      <c r="B11" s="248" t="s">
        <v>383</v>
      </c>
      <c r="C11" s="121">
        <f>C23</f>
        <v>83097.395000000004</v>
      </c>
      <c r="D11" s="121">
        <f t="shared" ref="D11:G11" si="8">D23</f>
        <v>106897.505</v>
      </c>
      <c r="E11" s="121">
        <f t="shared" si="8"/>
        <v>122629.857</v>
      </c>
      <c r="F11" s="121">
        <f t="shared" si="8"/>
        <v>142062.83600000001</v>
      </c>
      <c r="G11" s="121">
        <f t="shared" si="8"/>
        <v>150839.72500000001</v>
      </c>
    </row>
    <row r="12" spans="2:30">
      <c r="B12" s="248" t="s">
        <v>262</v>
      </c>
      <c r="C12" s="121">
        <v>152051</v>
      </c>
      <c r="D12" s="121">
        <v>193207</v>
      </c>
      <c r="E12" s="121">
        <v>211870</v>
      </c>
      <c r="F12" s="121">
        <v>220505</v>
      </c>
      <c r="G12" s="121">
        <v>241980</v>
      </c>
    </row>
    <row r="13" spans="2:30">
      <c r="B13" s="273" t="s">
        <v>374</v>
      </c>
      <c r="C13" s="274">
        <f>C14/C15*0.42</f>
        <v>0.73246175350591336</v>
      </c>
      <c r="D13" s="274">
        <f t="shared" ref="D13:G13" si="9">D14/D15*0.42</f>
        <v>0.68824632632274407</v>
      </c>
      <c r="E13" s="274">
        <f t="shared" si="9"/>
        <v>0.74770395144246027</v>
      </c>
      <c r="F13" s="274">
        <f t="shared" si="9"/>
        <v>1.0050869172278949</v>
      </c>
      <c r="G13" s="274">
        <f t="shared" si="9"/>
        <v>0.87960771958222528</v>
      </c>
    </row>
    <row r="14" spans="2:30">
      <c r="B14" s="248" t="s">
        <v>373</v>
      </c>
      <c r="C14" s="121">
        <v>95258.395000000004</v>
      </c>
      <c r="D14" s="121">
        <v>119053.505</v>
      </c>
      <c r="E14" s="121">
        <v>134771.85700000002</v>
      </c>
      <c r="F14" s="121">
        <v>154213.83600000001</v>
      </c>
      <c r="G14" s="121">
        <v>163022.72500000001</v>
      </c>
    </row>
    <row r="15" spans="2:30">
      <c r="B15" s="248" t="s">
        <v>379</v>
      </c>
      <c r="C15" s="10">
        <v>54622</v>
      </c>
      <c r="D15" s="10">
        <v>72652</v>
      </c>
      <c r="E15" s="10">
        <v>75704</v>
      </c>
      <c r="F15" s="10">
        <v>64442</v>
      </c>
      <c r="G15" s="10">
        <v>77841</v>
      </c>
    </row>
    <row r="16" spans="2:30">
      <c r="B16" s="273" t="s">
        <v>375</v>
      </c>
      <c r="C16" s="274">
        <f>C17/C18*0.717</f>
        <v>0.11051771445107234</v>
      </c>
      <c r="D16" s="274">
        <f t="shared" ref="D16:G16" si="10">D17/D18*0.717</f>
        <v>9.1573762855383087E-2</v>
      </c>
      <c r="E16" s="274">
        <f t="shared" si="10"/>
        <v>0.12459089064048708</v>
      </c>
      <c r="F16" s="274">
        <f t="shared" si="10"/>
        <v>0.17120141039885717</v>
      </c>
      <c r="G16" s="274">
        <f t="shared" si="10"/>
        <v>0.17282313414331762</v>
      </c>
    </row>
    <row r="17" spans="2:8">
      <c r="B17" s="248" t="s">
        <v>256</v>
      </c>
      <c r="C17" s="232">
        <v>23437</v>
      </c>
      <c r="D17" s="232">
        <v>24676</v>
      </c>
      <c r="E17" s="232">
        <v>36816</v>
      </c>
      <c r="F17" s="232">
        <v>52651</v>
      </c>
      <c r="G17" s="233">
        <v>58326</v>
      </c>
    </row>
    <row r="18" spans="2:8">
      <c r="B18" s="248" t="s">
        <v>262</v>
      </c>
      <c r="C18" s="121">
        <v>152051</v>
      </c>
      <c r="D18" s="121">
        <v>193207</v>
      </c>
      <c r="E18" s="121">
        <v>211870</v>
      </c>
      <c r="F18" s="121">
        <v>220505</v>
      </c>
      <c r="G18" s="121">
        <v>241980</v>
      </c>
    </row>
    <row r="19" spans="2:8">
      <c r="B19" s="273" t="s">
        <v>376</v>
      </c>
      <c r="C19" s="274">
        <f>C4+C7+C10+C13+C16</f>
        <v>3.8450321794156412</v>
      </c>
      <c r="D19" s="274">
        <f>D4+D7+D10+D13+D16</f>
        <v>3.1799364243523187</v>
      </c>
      <c r="E19" s="274">
        <f>E4+E7+E10+E13+E16</f>
        <v>3.1489845507627985</v>
      </c>
      <c r="F19" s="274">
        <f>F4+F7+F10+F13+F16</f>
        <v>3.6521718520094191</v>
      </c>
      <c r="G19" s="274">
        <f>G4+G7+G10+G13+G16</f>
        <v>3.1768637227643066</v>
      </c>
    </row>
    <row r="20" spans="2:8">
      <c r="B20" s="314"/>
      <c r="C20" s="315"/>
      <c r="D20" s="315"/>
      <c r="E20" s="315"/>
      <c r="F20" s="315"/>
      <c r="G20" s="315"/>
    </row>
    <row r="21" spans="2:8" ht="15" customHeight="1">
      <c r="B21" s="402" t="s">
        <v>446</v>
      </c>
      <c r="C21" s="402"/>
      <c r="D21" s="402"/>
      <c r="E21" s="402"/>
      <c r="F21" s="402"/>
      <c r="G21" s="402"/>
      <c r="H21" s="402"/>
    </row>
    <row r="22" spans="2:8" ht="15" thickBot="1"/>
    <row r="23" spans="2:8">
      <c r="B23" s="275" t="s">
        <v>377</v>
      </c>
      <c r="C23" s="276">
        <f>C25+C26+C24</f>
        <v>83097.395000000004</v>
      </c>
      <c r="D23" s="276">
        <f t="shared" ref="D23:G23" si="11">D25+D26+D24</f>
        <v>106897.505</v>
      </c>
      <c r="E23" s="276">
        <f>E25+E26+E24</f>
        <v>122629.857</v>
      </c>
      <c r="F23" s="276">
        <f t="shared" si="11"/>
        <v>142062.83600000001</v>
      </c>
      <c r="G23" s="277">
        <f t="shared" si="11"/>
        <v>150839.72500000001</v>
      </c>
    </row>
    <row r="24" spans="2:8">
      <c r="B24" s="120" t="s">
        <v>380</v>
      </c>
      <c r="C24" s="233">
        <v>1035</v>
      </c>
      <c r="D24" s="233">
        <v>1035</v>
      </c>
      <c r="E24" s="233">
        <v>1035</v>
      </c>
      <c r="F24" s="233">
        <v>1035</v>
      </c>
      <c r="G24" s="239">
        <v>1035</v>
      </c>
    </row>
    <row r="25" spans="2:8">
      <c r="B25" s="120" t="s">
        <v>378</v>
      </c>
      <c r="C25" s="238">
        <v>55356</v>
      </c>
      <c r="D25" s="238">
        <v>81162</v>
      </c>
      <c r="E25" s="238">
        <v>101263</v>
      </c>
      <c r="F25" s="238">
        <v>113984</v>
      </c>
      <c r="G25" s="240">
        <v>130321</v>
      </c>
    </row>
    <row r="26" spans="2:8" ht="15" thickBot="1">
      <c r="B26" s="241" t="s">
        <v>382</v>
      </c>
      <c r="C26" s="242">
        <v>26706.395000000004</v>
      </c>
      <c r="D26" s="242">
        <v>24700.505000000005</v>
      </c>
      <c r="E26" s="242">
        <v>20331.857000000004</v>
      </c>
      <c r="F26" s="242">
        <v>27043.835999999996</v>
      </c>
      <c r="G26" s="243">
        <v>19483.725000000006</v>
      </c>
    </row>
    <row r="27" spans="2:8">
      <c r="B27" s="275" t="s">
        <v>379</v>
      </c>
      <c r="C27" s="276">
        <f>C28-C29</f>
        <v>54622</v>
      </c>
      <c r="D27" s="276">
        <f t="shared" ref="D27:F27" si="12">D28-D29</f>
        <v>72652</v>
      </c>
      <c r="E27" s="276">
        <f t="shared" si="12"/>
        <v>75704</v>
      </c>
      <c r="F27" s="276">
        <f t="shared" si="12"/>
        <v>64442</v>
      </c>
      <c r="G27" s="277">
        <f>G28-G29</f>
        <v>77841</v>
      </c>
    </row>
    <row r="28" spans="2:8">
      <c r="B28" s="244" t="s">
        <v>275</v>
      </c>
      <c r="C28" s="189">
        <v>56077</v>
      </c>
      <c r="D28" s="189">
        <v>73764</v>
      </c>
      <c r="E28" s="189">
        <v>76689</v>
      </c>
      <c r="F28" s="189">
        <v>65287</v>
      </c>
      <c r="G28" s="245">
        <v>78557</v>
      </c>
    </row>
    <row r="29" spans="2:8" ht="15" thickBot="1">
      <c r="B29" s="246" t="s">
        <v>381</v>
      </c>
      <c r="C29" s="100">
        <v>1455</v>
      </c>
      <c r="D29" s="100">
        <v>1112</v>
      </c>
      <c r="E29" s="100">
        <v>985</v>
      </c>
      <c r="F29" s="100">
        <v>845</v>
      </c>
      <c r="G29" s="247">
        <v>716</v>
      </c>
    </row>
  </sheetData>
  <mergeCells count="1">
    <mergeCell ref="B21:H21"/>
  </mergeCells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8"/>
  <sheetViews>
    <sheetView topLeftCell="D1" workbookViewId="0">
      <selection activeCell="P125" sqref="P125"/>
    </sheetView>
  </sheetViews>
  <sheetFormatPr baseColWidth="10" defaultColWidth="8.83203125" defaultRowHeight="14" x14ac:dyDescent="0"/>
  <cols>
    <col min="3" max="3" width="60.33203125" bestFit="1" customWidth="1"/>
  </cols>
  <sheetData>
    <row r="1" spans="2:16">
      <c r="B1" s="16" t="s">
        <v>283</v>
      </c>
    </row>
    <row r="2" spans="2:16" ht="15" thickBot="1">
      <c r="B2" s="16"/>
    </row>
    <row r="3" spans="2:16" ht="15" thickBot="1">
      <c r="B3" s="324" t="s">
        <v>0</v>
      </c>
      <c r="C3" s="324" t="s">
        <v>101</v>
      </c>
      <c r="D3" s="324">
        <v>2002</v>
      </c>
      <c r="E3" s="328">
        <v>2003</v>
      </c>
      <c r="F3" s="326" t="s">
        <v>223</v>
      </c>
      <c r="G3" s="327"/>
      <c r="H3" s="324">
        <v>2004</v>
      </c>
      <c r="I3" s="326" t="s">
        <v>220</v>
      </c>
      <c r="J3" s="327"/>
      <c r="K3" s="324">
        <v>2005</v>
      </c>
      <c r="L3" s="326" t="s">
        <v>224</v>
      </c>
      <c r="M3" s="327"/>
      <c r="N3" s="324">
        <v>2006</v>
      </c>
      <c r="O3" s="326" t="s">
        <v>225</v>
      </c>
      <c r="P3" s="327"/>
    </row>
    <row r="4" spans="2:16" ht="15" thickBot="1">
      <c r="B4" s="325"/>
      <c r="C4" s="325"/>
      <c r="D4" s="325"/>
      <c r="E4" s="329"/>
      <c r="F4" s="26" t="s">
        <v>221</v>
      </c>
      <c r="G4" s="26" t="s">
        <v>222</v>
      </c>
      <c r="H4" s="325"/>
      <c r="I4" s="26" t="s">
        <v>221</v>
      </c>
      <c r="J4" s="26" t="s">
        <v>222</v>
      </c>
      <c r="K4" s="325"/>
      <c r="L4" s="26" t="s">
        <v>221</v>
      </c>
      <c r="M4" s="26" t="s">
        <v>222</v>
      </c>
      <c r="N4" s="325"/>
      <c r="O4" s="26" t="s">
        <v>221</v>
      </c>
      <c r="P4" s="26" t="s">
        <v>222</v>
      </c>
    </row>
    <row r="5" spans="2:16" ht="15" thickBot="1">
      <c r="B5" s="4"/>
      <c r="C5" s="21" t="s">
        <v>102</v>
      </c>
      <c r="D5" s="23">
        <f>D6+D7+D35+D67</f>
        <v>152051</v>
      </c>
      <c r="E5" s="23">
        <f t="shared" ref="E5" si="0">E6+E7+E35+E67</f>
        <v>193207</v>
      </c>
      <c r="F5" s="27">
        <f>E5-D5</f>
        <v>41156</v>
      </c>
      <c r="G5" s="28">
        <f>(E5-D5)/ABS(D5)*100</f>
        <v>27.067234020164289</v>
      </c>
      <c r="H5" s="23">
        <f t="shared" ref="H5" si="1">H6+H7+H35+H67</f>
        <v>211870</v>
      </c>
      <c r="I5" s="27">
        <f>H5-E5</f>
        <v>18663</v>
      </c>
      <c r="J5" s="28">
        <f>(H5-E5)/ABS(E5)*100</f>
        <v>9.659587903129804</v>
      </c>
      <c r="K5" s="23">
        <f t="shared" ref="K5" si="2">K6+K7+K35+K67</f>
        <v>220505</v>
      </c>
      <c r="L5" s="27">
        <f>K5-H5</f>
        <v>8635</v>
      </c>
      <c r="M5" s="28">
        <f>(K5-H5)/ABS(H5)*100</f>
        <v>4.0756124038325385</v>
      </c>
      <c r="N5" s="23">
        <f t="shared" ref="N5" si="3">N6+N7+N35+N67</f>
        <v>241980</v>
      </c>
      <c r="O5" s="27">
        <f>N5-K5</f>
        <v>21475</v>
      </c>
      <c r="P5" s="29">
        <f>(N5-K5)/ABS(K5)*100</f>
        <v>9.7390081857554254</v>
      </c>
    </row>
    <row r="6" spans="2:16" ht="15" thickBot="1">
      <c r="B6" s="15" t="s">
        <v>3</v>
      </c>
      <c r="C6" s="21" t="s">
        <v>103</v>
      </c>
      <c r="D6" s="20">
        <v>0</v>
      </c>
      <c r="E6" s="20">
        <v>0</v>
      </c>
      <c r="F6" s="27">
        <f>E6-D6</f>
        <v>0</v>
      </c>
      <c r="G6" s="28" t="s">
        <v>227</v>
      </c>
      <c r="H6" s="19">
        <v>0</v>
      </c>
      <c r="I6" s="27">
        <f>H6-E6</f>
        <v>0</v>
      </c>
      <c r="J6" s="28" t="s">
        <v>227</v>
      </c>
      <c r="K6" s="20">
        <v>0</v>
      </c>
      <c r="L6" s="27">
        <f>K6-H6</f>
        <v>0</v>
      </c>
      <c r="M6" s="28" t="s">
        <v>227</v>
      </c>
      <c r="N6" s="20">
        <v>0</v>
      </c>
      <c r="O6" s="27">
        <f>N6-K6</f>
        <v>0</v>
      </c>
      <c r="P6" s="28" t="s">
        <v>227</v>
      </c>
    </row>
    <row r="7" spans="2:16" ht="15" thickBot="1">
      <c r="B7" s="15" t="s">
        <v>15</v>
      </c>
      <c r="C7" s="21" t="s">
        <v>104</v>
      </c>
      <c r="D7" s="23">
        <f>D8+D17+D27</f>
        <v>77972</v>
      </c>
      <c r="E7" s="23">
        <f t="shared" ref="E7" si="4">E8+E17+E27</f>
        <v>110286</v>
      </c>
      <c r="F7" s="27">
        <f t="shared" ref="F7:F70" si="5">E7-D7</f>
        <v>32314</v>
      </c>
      <c r="G7" s="28">
        <f t="shared" ref="G7:G68" si="6">(E7-D7)/ABS(D7)*100</f>
        <v>41.443082132047401</v>
      </c>
      <c r="H7" s="23">
        <f t="shared" ref="H7" si="7">H8+H17+H27</f>
        <v>116276</v>
      </c>
      <c r="I7" s="27">
        <f t="shared" ref="I7:I12" si="8">H7-E7</f>
        <v>5990</v>
      </c>
      <c r="J7" s="28">
        <f t="shared" ref="J7:J68" si="9">(H7-E7)/ABS(E7)*100</f>
        <v>5.431333079447981</v>
      </c>
      <c r="K7" s="23">
        <f t="shared" ref="K7" si="10">K8+K17+K27</f>
        <v>111887</v>
      </c>
      <c r="L7" s="27">
        <f t="shared" ref="L7:L23" si="11">K7-H7</f>
        <v>-4389</v>
      </c>
      <c r="M7" s="28">
        <f t="shared" ref="M7:M68" si="12">(K7-H7)/ABS(H7)*100</f>
        <v>-3.7746396504867725</v>
      </c>
      <c r="N7" s="23">
        <f t="shared" ref="N7" si="13">N8+N17+N27</f>
        <v>122053</v>
      </c>
      <c r="O7" s="27">
        <f t="shared" ref="O7:O23" si="14">N7-K7</f>
        <v>10166</v>
      </c>
      <c r="P7" s="29">
        <f t="shared" ref="P7:P68" si="15">(N7-K7)/ABS(K7)*100</f>
        <v>9.0859527916558669</v>
      </c>
    </row>
    <row r="8" spans="2:16" ht="15" thickBot="1">
      <c r="B8" s="9" t="s">
        <v>1</v>
      </c>
      <c r="C8" s="24" t="s">
        <v>105</v>
      </c>
      <c r="D8" s="20">
        <f>SUM(D9:D16)</f>
        <v>2068</v>
      </c>
      <c r="E8" s="20">
        <f t="shared" ref="E8" si="16">SUM(E9:E16)</f>
        <v>2823</v>
      </c>
      <c r="F8" s="27">
        <f t="shared" si="5"/>
        <v>755</v>
      </c>
      <c r="G8" s="28">
        <f>(E8-D8)/ABS(D8)*100</f>
        <v>36.50870406189555</v>
      </c>
      <c r="H8" s="20">
        <f t="shared" ref="H8" si="17">SUM(H9:H16)</f>
        <v>1747</v>
      </c>
      <c r="I8" s="27">
        <f t="shared" si="8"/>
        <v>-1076</v>
      </c>
      <c r="J8" s="28">
        <f t="shared" si="9"/>
        <v>-38.115479985830675</v>
      </c>
      <c r="K8" s="20">
        <f t="shared" ref="K8" si="18">SUM(K9:K16)</f>
        <v>2814</v>
      </c>
      <c r="L8" s="27">
        <f t="shared" si="11"/>
        <v>1067</v>
      </c>
      <c r="M8" s="28">
        <f t="shared" si="12"/>
        <v>61.076130509444759</v>
      </c>
      <c r="N8" s="20">
        <f t="shared" ref="N8" si="19">SUM(N9:N16)</f>
        <v>2673</v>
      </c>
      <c r="O8" s="27">
        <f t="shared" si="14"/>
        <v>-141</v>
      </c>
      <c r="P8" s="29">
        <f t="shared" si="15"/>
        <v>-5.0106609808102345</v>
      </c>
    </row>
    <row r="9" spans="2:16" ht="15" thickBot="1">
      <c r="B9" s="9" t="s">
        <v>9</v>
      </c>
      <c r="C9" s="18" t="s">
        <v>106</v>
      </c>
      <c r="D9" s="19">
        <v>0</v>
      </c>
      <c r="E9" s="19">
        <v>0</v>
      </c>
      <c r="F9" s="27">
        <f t="shared" si="5"/>
        <v>0</v>
      </c>
      <c r="G9" s="28" t="s">
        <v>227</v>
      </c>
      <c r="H9" s="19">
        <v>0</v>
      </c>
      <c r="I9" s="27">
        <f t="shared" si="8"/>
        <v>0</v>
      </c>
      <c r="J9" s="28" t="s">
        <v>227</v>
      </c>
      <c r="K9" s="19">
        <v>0</v>
      </c>
      <c r="L9" s="27">
        <f t="shared" si="11"/>
        <v>0</v>
      </c>
      <c r="M9" s="28" t="s">
        <v>227</v>
      </c>
      <c r="N9" s="19">
        <v>0</v>
      </c>
      <c r="O9" s="27">
        <f t="shared" si="14"/>
        <v>0</v>
      </c>
      <c r="P9" s="28" t="s">
        <v>227</v>
      </c>
    </row>
    <row r="10" spans="2:16" ht="15" thickBot="1">
      <c r="B10" s="9" t="s">
        <v>11</v>
      </c>
      <c r="C10" s="18" t="s">
        <v>107</v>
      </c>
      <c r="D10" s="19">
        <v>0</v>
      </c>
      <c r="E10" s="19">
        <v>0</v>
      </c>
      <c r="F10" s="27">
        <f t="shared" si="5"/>
        <v>0</v>
      </c>
      <c r="G10" s="28" t="s">
        <v>227</v>
      </c>
      <c r="H10" s="19">
        <v>0</v>
      </c>
      <c r="I10" s="27">
        <f t="shared" si="8"/>
        <v>0</v>
      </c>
      <c r="J10" s="28" t="s">
        <v>227</v>
      </c>
      <c r="K10" s="19">
        <v>0</v>
      </c>
      <c r="L10" s="27">
        <f t="shared" si="11"/>
        <v>0</v>
      </c>
      <c r="M10" s="28" t="s">
        <v>227</v>
      </c>
      <c r="N10" s="19">
        <v>0</v>
      </c>
      <c r="O10" s="27">
        <f t="shared" si="14"/>
        <v>0</v>
      </c>
      <c r="P10" s="28" t="s">
        <v>227</v>
      </c>
    </row>
    <row r="11" spans="2:16" ht="15" thickBot="1">
      <c r="B11" s="9" t="s">
        <v>13</v>
      </c>
      <c r="C11" s="18" t="s">
        <v>108</v>
      </c>
      <c r="D11" s="19">
        <v>1923</v>
      </c>
      <c r="E11" s="19">
        <v>2285</v>
      </c>
      <c r="F11" s="27">
        <f t="shared" si="5"/>
        <v>362</v>
      </c>
      <c r="G11" s="28">
        <f t="shared" si="6"/>
        <v>18.824752990119606</v>
      </c>
      <c r="H11" s="19">
        <v>1621</v>
      </c>
      <c r="I11" s="27">
        <f t="shared" si="8"/>
        <v>-664</v>
      </c>
      <c r="J11" s="28">
        <f t="shared" si="9"/>
        <v>-29.059080962800877</v>
      </c>
      <c r="K11" s="19">
        <v>1493</v>
      </c>
      <c r="L11" s="27">
        <f t="shared" si="11"/>
        <v>-128</v>
      </c>
      <c r="M11" s="28">
        <f t="shared" si="12"/>
        <v>-7.8963602714373842</v>
      </c>
      <c r="N11" s="19">
        <v>2525</v>
      </c>
      <c r="O11" s="27">
        <f t="shared" si="14"/>
        <v>1032</v>
      </c>
      <c r="P11" s="29">
        <f t="shared" si="15"/>
        <v>69.122572002679178</v>
      </c>
    </row>
    <row r="12" spans="2:16" ht="15" thickBot="1">
      <c r="B12" s="9" t="s">
        <v>25</v>
      </c>
      <c r="C12" s="18" t="s">
        <v>109</v>
      </c>
      <c r="D12" s="19">
        <v>0</v>
      </c>
      <c r="E12" s="19">
        <v>0</v>
      </c>
      <c r="F12" s="27">
        <f t="shared" si="5"/>
        <v>0</v>
      </c>
      <c r="G12" s="28" t="s">
        <v>227</v>
      </c>
      <c r="H12" s="19">
        <v>0</v>
      </c>
      <c r="I12" s="27">
        <f t="shared" si="8"/>
        <v>0</v>
      </c>
      <c r="J12" s="28" t="s">
        <v>227</v>
      </c>
      <c r="K12" s="19">
        <v>0</v>
      </c>
      <c r="L12" s="27">
        <f t="shared" si="11"/>
        <v>0</v>
      </c>
      <c r="M12" s="28" t="s">
        <v>227</v>
      </c>
      <c r="N12" s="19">
        <v>0</v>
      </c>
      <c r="O12" s="27">
        <f t="shared" si="14"/>
        <v>0</v>
      </c>
      <c r="P12" s="28" t="s">
        <v>227</v>
      </c>
    </row>
    <row r="13" spans="2:16" ht="15" thickBot="1">
      <c r="B13" s="9" t="s">
        <v>110</v>
      </c>
      <c r="C13" s="18" t="s">
        <v>111</v>
      </c>
      <c r="D13" s="19">
        <v>0</v>
      </c>
      <c r="E13" s="19">
        <v>0</v>
      </c>
      <c r="F13" s="27">
        <f t="shared" si="5"/>
        <v>0</v>
      </c>
      <c r="G13" s="28" t="s">
        <v>227</v>
      </c>
      <c r="H13" s="19">
        <v>0</v>
      </c>
      <c r="I13" s="27">
        <f t="shared" ref="I13:I31" si="20">H13-E13</f>
        <v>0</v>
      </c>
      <c r="J13" s="28" t="s">
        <v>227</v>
      </c>
      <c r="K13" s="19">
        <v>0</v>
      </c>
      <c r="L13" s="27">
        <f t="shared" si="11"/>
        <v>0</v>
      </c>
      <c r="M13" s="28" t="s">
        <v>227</v>
      </c>
      <c r="N13" s="19">
        <v>0</v>
      </c>
      <c r="O13" s="27">
        <f t="shared" si="14"/>
        <v>0</v>
      </c>
      <c r="P13" s="28" t="s">
        <v>227</v>
      </c>
    </row>
    <row r="14" spans="2:16" ht="15" thickBot="1">
      <c r="B14" s="9" t="s">
        <v>112</v>
      </c>
      <c r="C14" s="18" t="s">
        <v>113</v>
      </c>
      <c r="D14" s="19">
        <v>0</v>
      </c>
      <c r="E14" s="19">
        <v>0</v>
      </c>
      <c r="F14" s="27">
        <f t="shared" si="5"/>
        <v>0</v>
      </c>
      <c r="G14" s="28" t="s">
        <v>227</v>
      </c>
      <c r="H14" s="19">
        <v>0</v>
      </c>
      <c r="I14" s="27">
        <f t="shared" si="20"/>
        <v>0</v>
      </c>
      <c r="J14" s="28" t="s">
        <v>227</v>
      </c>
      <c r="K14" s="19">
        <v>0</v>
      </c>
      <c r="L14" s="27">
        <f t="shared" si="11"/>
        <v>0</v>
      </c>
      <c r="M14" s="28" t="s">
        <v>227</v>
      </c>
      <c r="N14" s="19">
        <v>0</v>
      </c>
      <c r="O14" s="27">
        <f t="shared" si="14"/>
        <v>0</v>
      </c>
      <c r="P14" s="28" t="s">
        <v>227</v>
      </c>
    </row>
    <row r="15" spans="2:16" ht="15" thickBot="1">
      <c r="B15" s="9" t="s">
        <v>114</v>
      </c>
      <c r="C15" s="18" t="s">
        <v>115</v>
      </c>
      <c r="D15" s="19">
        <v>145</v>
      </c>
      <c r="E15" s="19">
        <v>538</v>
      </c>
      <c r="F15" s="27">
        <f t="shared" si="5"/>
        <v>393</v>
      </c>
      <c r="G15" s="28">
        <f t="shared" si="6"/>
        <v>271.0344827586207</v>
      </c>
      <c r="H15" s="19">
        <v>126</v>
      </c>
      <c r="I15" s="27">
        <f t="shared" si="20"/>
        <v>-412</v>
      </c>
      <c r="J15" s="28">
        <f t="shared" si="9"/>
        <v>-76.579925650557627</v>
      </c>
      <c r="K15" s="19">
        <v>1321</v>
      </c>
      <c r="L15" s="27">
        <f t="shared" si="11"/>
        <v>1195</v>
      </c>
      <c r="M15" s="28">
        <f t="shared" si="12"/>
        <v>948.41269841269843</v>
      </c>
      <c r="N15" s="19">
        <v>148</v>
      </c>
      <c r="O15" s="27">
        <f t="shared" si="14"/>
        <v>-1173</v>
      </c>
      <c r="P15" s="29">
        <f t="shared" si="15"/>
        <v>-88.796366389099163</v>
      </c>
    </row>
    <row r="16" spans="2:16" ht="15" thickBot="1">
      <c r="B16" s="9" t="s">
        <v>116</v>
      </c>
      <c r="C16" s="18" t="s">
        <v>117</v>
      </c>
      <c r="D16" s="19">
        <v>0</v>
      </c>
      <c r="E16" s="19">
        <v>0</v>
      </c>
      <c r="F16" s="27">
        <f t="shared" si="5"/>
        <v>0</v>
      </c>
      <c r="G16" s="28" t="s">
        <v>227</v>
      </c>
      <c r="H16" s="19">
        <v>0</v>
      </c>
      <c r="I16" s="27">
        <f t="shared" si="20"/>
        <v>0</v>
      </c>
      <c r="J16" s="28" t="s">
        <v>227</v>
      </c>
      <c r="K16" s="19">
        <v>0</v>
      </c>
      <c r="L16" s="27">
        <f t="shared" si="11"/>
        <v>0</v>
      </c>
      <c r="M16" s="28" t="s">
        <v>227</v>
      </c>
      <c r="N16" s="19">
        <v>0</v>
      </c>
      <c r="O16" s="27">
        <f t="shared" si="14"/>
        <v>0</v>
      </c>
      <c r="P16" s="28" t="s">
        <v>227</v>
      </c>
    </row>
    <row r="17" spans="2:16" ht="15" thickBot="1">
      <c r="B17" s="9" t="s">
        <v>7</v>
      </c>
      <c r="C17" s="24" t="s">
        <v>118</v>
      </c>
      <c r="D17" s="23">
        <f>SUM(D18:D26)</f>
        <v>75904</v>
      </c>
      <c r="E17" s="23">
        <f t="shared" ref="E17" si="21">SUM(E18:E26)</f>
        <v>107463</v>
      </c>
      <c r="F17" s="27">
        <f t="shared" si="5"/>
        <v>31559</v>
      </c>
      <c r="G17" s="28">
        <f t="shared" si="6"/>
        <v>41.577518971332211</v>
      </c>
      <c r="H17" s="23">
        <f t="shared" ref="H17" si="22">SUM(H18:H26)</f>
        <v>114529</v>
      </c>
      <c r="I17" s="27">
        <f t="shared" si="20"/>
        <v>7066</v>
      </c>
      <c r="J17" s="28">
        <f t="shared" si="9"/>
        <v>6.5752863776369548</v>
      </c>
      <c r="K17" s="23">
        <f t="shared" ref="K17" si="23">SUM(K18:K26)</f>
        <v>109073</v>
      </c>
      <c r="L17" s="27">
        <f t="shared" si="11"/>
        <v>-5456</v>
      </c>
      <c r="M17" s="28">
        <f t="shared" si="12"/>
        <v>-4.7638589352914984</v>
      </c>
      <c r="N17" s="23">
        <f t="shared" ref="N17" si="24">SUM(N18:N26)</f>
        <v>119380</v>
      </c>
      <c r="O17" s="27">
        <f t="shared" si="14"/>
        <v>10307</v>
      </c>
      <c r="P17" s="29">
        <f t="shared" si="15"/>
        <v>9.4496346483547704</v>
      </c>
    </row>
    <row r="18" spans="2:16" ht="15" thickBot="1">
      <c r="B18" s="9" t="s">
        <v>9</v>
      </c>
      <c r="C18" s="18" t="s">
        <v>119</v>
      </c>
      <c r="D18" s="19">
        <v>3526</v>
      </c>
      <c r="E18" s="19">
        <v>4123</v>
      </c>
      <c r="F18" s="27">
        <f t="shared" si="5"/>
        <v>597</v>
      </c>
      <c r="G18" s="28">
        <f t="shared" si="6"/>
        <v>16.931366988088488</v>
      </c>
      <c r="H18" s="19">
        <v>5421</v>
      </c>
      <c r="I18" s="27">
        <f t="shared" si="20"/>
        <v>1298</v>
      </c>
      <c r="J18" s="28">
        <f t="shared" si="9"/>
        <v>31.481930633034199</v>
      </c>
      <c r="K18" s="19">
        <v>5462</v>
      </c>
      <c r="L18" s="27">
        <f t="shared" si="11"/>
        <v>41</v>
      </c>
      <c r="M18" s="28">
        <f t="shared" si="12"/>
        <v>0.75631802250507285</v>
      </c>
      <c r="N18" s="19">
        <v>6317</v>
      </c>
      <c r="O18" s="27">
        <f t="shared" si="14"/>
        <v>855</v>
      </c>
      <c r="P18" s="29">
        <f t="shared" si="15"/>
        <v>15.653606737458805</v>
      </c>
    </row>
    <row r="19" spans="2:16" ht="15" thickBot="1">
      <c r="B19" s="9" t="s">
        <v>11</v>
      </c>
      <c r="C19" s="18" t="s">
        <v>120</v>
      </c>
      <c r="D19" s="22">
        <v>41235</v>
      </c>
      <c r="E19" s="22">
        <v>49983</v>
      </c>
      <c r="F19" s="27">
        <f t="shared" si="5"/>
        <v>8748</v>
      </c>
      <c r="G19" s="28">
        <f t="shared" si="6"/>
        <v>21.214987268097492</v>
      </c>
      <c r="H19" s="22">
        <v>49123</v>
      </c>
      <c r="I19" s="27">
        <f t="shared" si="20"/>
        <v>-860</v>
      </c>
      <c r="J19" s="28">
        <f t="shared" si="9"/>
        <v>-1.7205849988996258</v>
      </c>
      <c r="K19" s="22">
        <v>56245</v>
      </c>
      <c r="L19" s="27">
        <f t="shared" si="11"/>
        <v>7122</v>
      </c>
      <c r="M19" s="28">
        <f>(K19-H19)/ABS(H19)*100</f>
        <v>14.498300185249272</v>
      </c>
      <c r="N19" s="22">
        <v>63128</v>
      </c>
      <c r="O19" s="27">
        <f t="shared" si="14"/>
        <v>6883</v>
      </c>
      <c r="P19" s="29">
        <f t="shared" si="15"/>
        <v>12.237532225086674</v>
      </c>
    </row>
    <row r="20" spans="2:16" ht="15" thickBot="1">
      <c r="B20" s="9" t="s">
        <v>13</v>
      </c>
      <c r="C20" s="18" t="s">
        <v>121</v>
      </c>
      <c r="D20" s="22">
        <v>23562</v>
      </c>
      <c r="E20" s="22">
        <v>47348</v>
      </c>
      <c r="F20" s="27">
        <f t="shared" si="5"/>
        <v>23786</v>
      </c>
      <c r="G20" s="28">
        <f t="shared" si="6"/>
        <v>100.95068330362449</v>
      </c>
      <c r="H20" s="22">
        <v>55214</v>
      </c>
      <c r="I20" s="27">
        <f t="shared" si="20"/>
        <v>7866</v>
      </c>
      <c r="J20" s="28">
        <f t="shared" si="9"/>
        <v>16.613162118780096</v>
      </c>
      <c r="K20" s="19">
        <v>45132</v>
      </c>
      <c r="L20" s="27">
        <f t="shared" si="11"/>
        <v>-10082</v>
      </c>
      <c r="M20" s="28">
        <f t="shared" si="12"/>
        <v>-18.259861629296918</v>
      </c>
      <c r="N20" s="19">
        <v>49216</v>
      </c>
      <c r="O20" s="27">
        <f t="shared" si="14"/>
        <v>4084</v>
      </c>
      <c r="P20" s="29">
        <f t="shared" si="15"/>
        <v>9.0490117876451297</v>
      </c>
    </row>
    <row r="21" spans="2:16" ht="15" thickBot="1">
      <c r="B21" s="9" t="s">
        <v>25</v>
      </c>
      <c r="C21" s="18" t="s">
        <v>122</v>
      </c>
      <c r="D21" s="19">
        <v>0</v>
      </c>
      <c r="E21" s="19">
        <v>0</v>
      </c>
      <c r="F21" s="27">
        <f t="shared" si="5"/>
        <v>0</v>
      </c>
      <c r="G21" s="28" t="s">
        <v>227</v>
      </c>
      <c r="H21" s="19">
        <v>0</v>
      </c>
      <c r="I21" s="27">
        <f t="shared" si="20"/>
        <v>0</v>
      </c>
      <c r="J21" s="28" t="s">
        <v>227</v>
      </c>
      <c r="K21" s="19">
        <v>0</v>
      </c>
      <c r="L21" s="27">
        <f t="shared" si="11"/>
        <v>0</v>
      </c>
      <c r="M21" s="28" t="s">
        <v>227</v>
      </c>
      <c r="N21" s="19">
        <v>0</v>
      </c>
      <c r="O21" s="27">
        <f t="shared" si="14"/>
        <v>0</v>
      </c>
      <c r="P21" s="28" t="s">
        <v>227</v>
      </c>
    </row>
    <row r="22" spans="2:16" ht="15" thickBot="1">
      <c r="B22" s="9" t="s">
        <v>110</v>
      </c>
      <c r="C22" s="18" t="s">
        <v>123</v>
      </c>
      <c r="D22" s="19">
        <v>0</v>
      </c>
      <c r="E22" s="19">
        <v>0</v>
      </c>
      <c r="F22" s="27">
        <f t="shared" si="5"/>
        <v>0</v>
      </c>
      <c r="G22" s="28" t="s">
        <v>227</v>
      </c>
      <c r="H22" s="19">
        <v>0</v>
      </c>
      <c r="I22" s="27">
        <f t="shared" si="20"/>
        <v>0</v>
      </c>
      <c r="J22" s="28" t="s">
        <v>227</v>
      </c>
      <c r="K22" s="19">
        <v>0</v>
      </c>
      <c r="L22" s="27">
        <f t="shared" si="11"/>
        <v>0</v>
      </c>
      <c r="M22" s="28" t="s">
        <v>227</v>
      </c>
      <c r="N22" s="19">
        <v>0</v>
      </c>
      <c r="O22" s="27">
        <f t="shared" si="14"/>
        <v>0</v>
      </c>
      <c r="P22" s="28" t="s">
        <v>227</v>
      </c>
    </row>
    <row r="23" spans="2:16" ht="15" thickBot="1">
      <c r="B23" s="9" t="s">
        <v>112</v>
      </c>
      <c r="C23" s="18" t="s">
        <v>124</v>
      </c>
      <c r="D23" s="19">
        <v>0</v>
      </c>
      <c r="E23" s="19">
        <v>0</v>
      </c>
      <c r="F23" s="27">
        <f t="shared" si="5"/>
        <v>0</v>
      </c>
      <c r="G23" s="28" t="s">
        <v>227</v>
      </c>
      <c r="H23" s="19">
        <v>0</v>
      </c>
      <c r="I23" s="27">
        <f t="shared" si="20"/>
        <v>0</v>
      </c>
      <c r="J23" s="28" t="s">
        <v>227</v>
      </c>
      <c r="K23" s="19">
        <v>0</v>
      </c>
      <c r="L23" s="27">
        <f t="shared" si="11"/>
        <v>0</v>
      </c>
      <c r="M23" s="28" t="s">
        <v>227</v>
      </c>
      <c r="N23" s="19">
        <v>0</v>
      </c>
      <c r="O23" s="27">
        <f t="shared" si="14"/>
        <v>0</v>
      </c>
      <c r="P23" s="28" t="s">
        <v>227</v>
      </c>
    </row>
    <row r="24" spans="2:16" ht="15" thickBot="1">
      <c r="B24" s="9" t="s">
        <v>114</v>
      </c>
      <c r="C24" s="18" t="s">
        <v>125</v>
      </c>
      <c r="D24" s="19">
        <v>4128</v>
      </c>
      <c r="E24" s="19">
        <v>193</v>
      </c>
      <c r="F24" s="27">
        <f t="shared" si="5"/>
        <v>-3935</v>
      </c>
      <c r="G24" s="28">
        <f t="shared" si="6"/>
        <v>-95.324612403100772</v>
      </c>
      <c r="H24" s="19">
        <v>3417</v>
      </c>
      <c r="I24" s="27">
        <f t="shared" si="20"/>
        <v>3224</v>
      </c>
      <c r="J24" s="28">
        <f t="shared" si="9"/>
        <v>1670.4663212435232</v>
      </c>
      <c r="K24" s="19">
        <v>625</v>
      </c>
      <c r="L24" s="27">
        <f>K24-H24</f>
        <v>-2792</v>
      </c>
      <c r="M24" s="28">
        <f t="shared" si="12"/>
        <v>-81.709101551068187</v>
      </c>
      <c r="N24" s="19">
        <v>513</v>
      </c>
      <c r="O24" s="27">
        <f t="shared" ref="O24:O41" si="25">N24-K24</f>
        <v>-112</v>
      </c>
      <c r="P24" s="29">
        <f t="shared" si="15"/>
        <v>-17.919999999999998</v>
      </c>
    </row>
    <row r="25" spans="2:16" ht="15" thickBot="1">
      <c r="B25" s="9" t="s">
        <v>116</v>
      </c>
      <c r="C25" s="18" t="s">
        <v>126</v>
      </c>
      <c r="D25" s="19">
        <v>2801</v>
      </c>
      <c r="E25" s="19">
        <v>5323</v>
      </c>
      <c r="F25" s="27">
        <f t="shared" si="5"/>
        <v>2522</v>
      </c>
      <c r="G25" s="28">
        <f t="shared" si="6"/>
        <v>90.039271688682604</v>
      </c>
      <c r="H25" s="19">
        <v>1026</v>
      </c>
      <c r="I25" s="27">
        <f t="shared" si="20"/>
        <v>-4297</v>
      </c>
      <c r="J25" s="28">
        <f t="shared" si="9"/>
        <v>-80.725154987788841</v>
      </c>
      <c r="K25" s="19">
        <v>1417</v>
      </c>
      <c r="L25" s="27">
        <f t="shared" ref="L25:L38" si="26">K25-H25</f>
        <v>391</v>
      </c>
      <c r="M25" s="28">
        <f t="shared" si="12"/>
        <v>38.109161793372323</v>
      </c>
      <c r="N25" s="19">
        <v>93</v>
      </c>
      <c r="O25" s="27">
        <f t="shared" si="25"/>
        <v>-1324</v>
      </c>
      <c r="P25" s="29">
        <f t="shared" si="15"/>
        <v>-93.436838390966841</v>
      </c>
    </row>
    <row r="26" spans="2:16" ht="15" thickBot="1">
      <c r="B26" s="9" t="s">
        <v>127</v>
      </c>
      <c r="C26" s="18" t="s">
        <v>128</v>
      </c>
      <c r="D26" s="19">
        <v>652</v>
      </c>
      <c r="E26" s="19">
        <v>493</v>
      </c>
      <c r="F26" s="27">
        <f t="shared" si="5"/>
        <v>-159</v>
      </c>
      <c r="G26" s="28">
        <f t="shared" si="6"/>
        <v>-24.386503067484664</v>
      </c>
      <c r="H26" s="19">
        <v>328</v>
      </c>
      <c r="I26" s="27">
        <f t="shared" si="20"/>
        <v>-165</v>
      </c>
      <c r="J26" s="28">
        <f t="shared" si="9"/>
        <v>-33.468559837728193</v>
      </c>
      <c r="K26" s="19">
        <v>192</v>
      </c>
      <c r="L26" s="27">
        <f t="shared" si="26"/>
        <v>-136</v>
      </c>
      <c r="M26" s="28">
        <f t="shared" si="12"/>
        <v>-41.463414634146339</v>
      </c>
      <c r="N26" s="19">
        <v>113</v>
      </c>
      <c r="O26" s="27">
        <f t="shared" si="25"/>
        <v>-79</v>
      </c>
      <c r="P26" s="29">
        <f t="shared" si="15"/>
        <v>-41.145833333333329</v>
      </c>
    </row>
    <row r="27" spans="2:16" ht="15" thickBot="1">
      <c r="B27" s="9" t="s">
        <v>31</v>
      </c>
      <c r="C27" s="24" t="s">
        <v>129</v>
      </c>
      <c r="D27" s="20">
        <f>SUM(D28:D34)</f>
        <v>0</v>
      </c>
      <c r="E27" s="20">
        <f t="shared" ref="E27" si="27">SUM(E28:E34)</f>
        <v>0</v>
      </c>
      <c r="F27" s="27">
        <f t="shared" si="5"/>
        <v>0</v>
      </c>
      <c r="G27" s="28" t="s">
        <v>227</v>
      </c>
      <c r="H27" s="20">
        <f t="shared" ref="H27" si="28">SUM(H28:H34)</f>
        <v>0</v>
      </c>
      <c r="I27" s="27">
        <f t="shared" si="20"/>
        <v>0</v>
      </c>
      <c r="J27" s="28" t="s">
        <v>227</v>
      </c>
      <c r="K27" s="20">
        <f t="shared" ref="K27" si="29">SUM(K28:K34)</f>
        <v>0</v>
      </c>
      <c r="L27" s="27">
        <f t="shared" si="26"/>
        <v>0</v>
      </c>
      <c r="M27" s="28" t="s">
        <v>227</v>
      </c>
      <c r="N27" s="20">
        <f t="shared" ref="N27" si="30">SUM(N28:N34)</f>
        <v>0</v>
      </c>
      <c r="O27" s="27">
        <f t="shared" si="25"/>
        <v>0</v>
      </c>
      <c r="P27" s="28" t="s">
        <v>227</v>
      </c>
    </row>
    <row r="28" spans="2:16" ht="15" thickBot="1">
      <c r="B28" s="9" t="s">
        <v>9</v>
      </c>
      <c r="C28" s="18" t="s">
        <v>130</v>
      </c>
      <c r="D28" s="19">
        <v>0</v>
      </c>
      <c r="E28" s="19">
        <v>0</v>
      </c>
      <c r="F28" s="27">
        <f t="shared" si="5"/>
        <v>0</v>
      </c>
      <c r="G28" s="28" t="s">
        <v>227</v>
      </c>
      <c r="H28" s="19">
        <v>0</v>
      </c>
      <c r="I28" s="27">
        <f t="shared" si="20"/>
        <v>0</v>
      </c>
      <c r="J28" s="28" t="s">
        <v>227</v>
      </c>
      <c r="K28" s="19">
        <v>0</v>
      </c>
      <c r="L28" s="27">
        <f t="shared" si="26"/>
        <v>0</v>
      </c>
      <c r="M28" s="28" t="s">
        <v>227</v>
      </c>
      <c r="N28" s="19">
        <v>0</v>
      </c>
      <c r="O28" s="27">
        <f t="shared" si="25"/>
        <v>0</v>
      </c>
      <c r="P28" s="28" t="s">
        <v>227</v>
      </c>
    </row>
    <row r="29" spans="2:16" ht="15" thickBot="1">
      <c r="B29" s="9" t="s">
        <v>11</v>
      </c>
      <c r="C29" s="18" t="s">
        <v>131</v>
      </c>
      <c r="D29" s="19">
        <v>0</v>
      </c>
      <c r="E29" s="19">
        <v>0</v>
      </c>
      <c r="F29" s="27">
        <f t="shared" si="5"/>
        <v>0</v>
      </c>
      <c r="G29" s="28" t="s">
        <v>227</v>
      </c>
      <c r="H29" s="19">
        <v>0</v>
      </c>
      <c r="I29" s="27">
        <f t="shared" si="20"/>
        <v>0</v>
      </c>
      <c r="J29" s="28" t="s">
        <v>227</v>
      </c>
      <c r="K29" s="19">
        <v>0</v>
      </c>
      <c r="L29" s="27">
        <f t="shared" si="26"/>
        <v>0</v>
      </c>
      <c r="M29" s="28" t="s">
        <v>227</v>
      </c>
      <c r="N29" s="19">
        <v>0</v>
      </c>
      <c r="O29" s="27">
        <f t="shared" si="25"/>
        <v>0</v>
      </c>
      <c r="P29" s="28" t="s">
        <v>227</v>
      </c>
    </row>
    <row r="30" spans="2:16" ht="15" thickBot="1">
      <c r="B30" s="9" t="s">
        <v>13</v>
      </c>
      <c r="C30" s="18" t="s">
        <v>132</v>
      </c>
      <c r="D30" s="19">
        <v>0</v>
      </c>
      <c r="E30" s="19">
        <v>0</v>
      </c>
      <c r="F30" s="27">
        <f t="shared" si="5"/>
        <v>0</v>
      </c>
      <c r="G30" s="28" t="s">
        <v>227</v>
      </c>
      <c r="H30" s="19">
        <v>0</v>
      </c>
      <c r="I30" s="27">
        <f t="shared" si="20"/>
        <v>0</v>
      </c>
      <c r="J30" s="28" t="s">
        <v>227</v>
      </c>
      <c r="K30" s="19">
        <v>0</v>
      </c>
      <c r="L30" s="27">
        <f t="shared" si="26"/>
        <v>0</v>
      </c>
      <c r="M30" s="28" t="s">
        <v>227</v>
      </c>
      <c r="N30" s="19">
        <v>0</v>
      </c>
      <c r="O30" s="27">
        <f t="shared" si="25"/>
        <v>0</v>
      </c>
      <c r="P30" s="28" t="s">
        <v>227</v>
      </c>
    </row>
    <row r="31" spans="2:16" ht="15" thickBot="1">
      <c r="B31" s="9" t="s">
        <v>25</v>
      </c>
      <c r="C31" s="18" t="s">
        <v>133</v>
      </c>
      <c r="D31" s="19">
        <v>0</v>
      </c>
      <c r="E31" s="19">
        <v>0</v>
      </c>
      <c r="F31" s="27">
        <f t="shared" si="5"/>
        <v>0</v>
      </c>
      <c r="G31" s="28" t="s">
        <v>227</v>
      </c>
      <c r="H31" s="19">
        <v>0</v>
      </c>
      <c r="I31" s="27">
        <f t="shared" si="20"/>
        <v>0</v>
      </c>
      <c r="J31" s="28" t="s">
        <v>227</v>
      </c>
      <c r="K31" s="19">
        <v>0</v>
      </c>
      <c r="L31" s="27">
        <f t="shared" si="26"/>
        <v>0</v>
      </c>
      <c r="M31" s="28" t="s">
        <v>227</v>
      </c>
      <c r="N31" s="19">
        <v>0</v>
      </c>
      <c r="O31" s="27">
        <f t="shared" si="25"/>
        <v>0</v>
      </c>
      <c r="P31" s="28" t="s">
        <v>227</v>
      </c>
    </row>
    <row r="32" spans="2:16" ht="15" thickBot="1">
      <c r="B32" s="9" t="s">
        <v>110</v>
      </c>
      <c r="C32" s="18" t="s">
        <v>134</v>
      </c>
      <c r="D32" s="19">
        <v>0</v>
      </c>
      <c r="E32" s="19">
        <v>0</v>
      </c>
      <c r="F32" s="27">
        <f t="shared" si="5"/>
        <v>0</v>
      </c>
      <c r="G32" s="28" t="s">
        <v>227</v>
      </c>
      <c r="H32" s="19">
        <v>0</v>
      </c>
      <c r="I32" s="27">
        <f t="shared" ref="I32:I97" si="31">H32-E32</f>
        <v>0</v>
      </c>
      <c r="J32" s="28" t="s">
        <v>227</v>
      </c>
      <c r="K32" s="19">
        <v>0</v>
      </c>
      <c r="L32" s="27">
        <f t="shared" si="26"/>
        <v>0</v>
      </c>
      <c r="M32" s="28" t="s">
        <v>227</v>
      </c>
      <c r="N32" s="19">
        <v>0</v>
      </c>
      <c r="O32" s="27">
        <f t="shared" si="25"/>
        <v>0</v>
      </c>
      <c r="P32" s="28" t="s">
        <v>227</v>
      </c>
    </row>
    <row r="33" spans="2:16" ht="15" thickBot="1">
      <c r="B33" s="9" t="s">
        <v>112</v>
      </c>
      <c r="C33" s="18" t="s">
        <v>135</v>
      </c>
      <c r="D33" s="19">
        <v>0</v>
      </c>
      <c r="E33" s="19">
        <v>0</v>
      </c>
      <c r="F33" s="27">
        <f t="shared" si="5"/>
        <v>0</v>
      </c>
      <c r="G33" s="28" t="s">
        <v>227</v>
      </c>
      <c r="H33" s="19">
        <v>0</v>
      </c>
      <c r="I33" s="27">
        <f t="shared" si="31"/>
        <v>0</v>
      </c>
      <c r="J33" s="28" t="s">
        <v>227</v>
      </c>
      <c r="K33" s="19">
        <v>0</v>
      </c>
      <c r="L33" s="27">
        <f t="shared" si="26"/>
        <v>0</v>
      </c>
      <c r="M33" s="28" t="s">
        <v>227</v>
      </c>
      <c r="N33" s="19">
        <v>0</v>
      </c>
      <c r="O33" s="27">
        <f t="shared" si="25"/>
        <v>0</v>
      </c>
      <c r="P33" s="28" t="s">
        <v>227</v>
      </c>
    </row>
    <row r="34" spans="2:16" ht="15" thickBot="1">
      <c r="B34" s="9" t="s">
        <v>114</v>
      </c>
      <c r="C34" s="18" t="s">
        <v>136</v>
      </c>
      <c r="D34" s="19">
        <v>0</v>
      </c>
      <c r="E34" s="19">
        <v>0</v>
      </c>
      <c r="F34" s="27">
        <f t="shared" si="5"/>
        <v>0</v>
      </c>
      <c r="G34" s="28" t="s">
        <v>227</v>
      </c>
      <c r="H34" s="19">
        <v>0</v>
      </c>
      <c r="I34" s="27">
        <f t="shared" si="31"/>
        <v>0</v>
      </c>
      <c r="J34" s="28" t="s">
        <v>227</v>
      </c>
      <c r="K34" s="19">
        <v>0</v>
      </c>
      <c r="L34" s="27">
        <f t="shared" si="26"/>
        <v>0</v>
      </c>
      <c r="M34" s="28" t="s">
        <v>227</v>
      </c>
      <c r="N34" s="19">
        <v>0</v>
      </c>
      <c r="O34" s="27">
        <f t="shared" si="25"/>
        <v>0</v>
      </c>
      <c r="P34" s="28" t="s">
        <v>227</v>
      </c>
    </row>
    <row r="35" spans="2:16" ht="15" thickBot="1">
      <c r="B35" s="15" t="s">
        <v>20</v>
      </c>
      <c r="C35" s="21" t="s">
        <v>137</v>
      </c>
      <c r="D35" s="23">
        <f>D36+D43+D52+D62</f>
        <v>69989</v>
      </c>
      <c r="E35" s="23">
        <f>E36+E43+E52+E62</f>
        <v>77665</v>
      </c>
      <c r="F35" s="27">
        <f t="shared" si="5"/>
        <v>7676</v>
      </c>
      <c r="G35" s="28">
        <f t="shared" si="6"/>
        <v>10.967437740216319</v>
      </c>
      <c r="H35" s="23">
        <f t="shared" ref="H35" si="32">H36+H43+H52+H62</f>
        <v>89365</v>
      </c>
      <c r="I35" s="27">
        <f t="shared" si="31"/>
        <v>11700</v>
      </c>
      <c r="J35" s="28">
        <f t="shared" si="9"/>
        <v>15.064700959248054</v>
      </c>
      <c r="K35" s="23">
        <f t="shared" ref="K35" si="33">K36+K43+K52+K62</f>
        <v>101171</v>
      </c>
      <c r="L35" s="27">
        <f t="shared" si="26"/>
        <v>11806</v>
      </c>
      <c r="M35" s="28">
        <f t="shared" si="12"/>
        <v>13.210988642085827</v>
      </c>
      <c r="N35" s="23">
        <f t="shared" ref="N35" si="34">N36+N43+N52+N62</f>
        <v>110661</v>
      </c>
      <c r="O35" s="27">
        <f t="shared" si="25"/>
        <v>9490</v>
      </c>
      <c r="P35" s="29">
        <f t="shared" si="15"/>
        <v>9.3801583457710205</v>
      </c>
    </row>
    <row r="36" spans="2:16" ht="15" thickBot="1">
      <c r="B36" s="9" t="s">
        <v>1</v>
      </c>
      <c r="C36" s="24" t="s">
        <v>138</v>
      </c>
      <c r="D36" s="23">
        <f>SUM(D37:D42)</f>
        <v>25104</v>
      </c>
      <c r="E36" s="23">
        <f t="shared" ref="E36" si="35">SUM(E37:E42)</f>
        <v>29283</v>
      </c>
      <c r="F36" s="27">
        <f t="shared" si="5"/>
        <v>4179</v>
      </c>
      <c r="G36" s="28">
        <f t="shared" si="6"/>
        <v>16.646749521988529</v>
      </c>
      <c r="H36" s="23">
        <f t="shared" ref="H36" si="36">SUM(H37:H42)</f>
        <v>36662</v>
      </c>
      <c r="I36" s="27">
        <f t="shared" si="31"/>
        <v>7379</v>
      </c>
      <c r="J36" s="28">
        <f t="shared" si="9"/>
        <v>25.198920875593352</v>
      </c>
      <c r="K36" s="23">
        <f t="shared" ref="K36" si="37">SUM(K37:K42)</f>
        <v>43562</v>
      </c>
      <c r="L36" s="27">
        <f t="shared" si="26"/>
        <v>6900</v>
      </c>
      <c r="M36" s="28">
        <f t="shared" si="12"/>
        <v>18.820577164366373</v>
      </c>
      <c r="N36" s="23">
        <f t="shared" ref="N36" si="38">SUM(N37:N42)</f>
        <v>45208</v>
      </c>
      <c r="O36" s="27">
        <f t="shared" si="25"/>
        <v>1646</v>
      </c>
      <c r="P36" s="29">
        <f t="shared" si="15"/>
        <v>3.778522565538772</v>
      </c>
    </row>
    <row r="37" spans="2:16" ht="15" thickBot="1">
      <c r="B37" s="9" t="s">
        <v>9</v>
      </c>
      <c r="C37" s="18" t="s">
        <v>139</v>
      </c>
      <c r="D37" s="19">
        <v>6935</v>
      </c>
      <c r="E37" s="19">
        <v>10212</v>
      </c>
      <c r="F37" s="27">
        <f t="shared" si="5"/>
        <v>3277</v>
      </c>
      <c r="G37" s="28">
        <f>(E37-D37)/ABS(D37)*100</f>
        <v>47.253064167267482</v>
      </c>
      <c r="H37" s="19">
        <v>8623</v>
      </c>
      <c r="I37" s="27">
        <f t="shared" si="31"/>
        <v>-1589</v>
      </c>
      <c r="J37" s="28">
        <f t="shared" si="9"/>
        <v>-15.560125342734038</v>
      </c>
      <c r="K37" s="19">
        <v>9428</v>
      </c>
      <c r="L37" s="27">
        <f t="shared" si="26"/>
        <v>805</v>
      </c>
      <c r="M37" s="28">
        <f t="shared" si="12"/>
        <v>9.3354980865128141</v>
      </c>
      <c r="N37" s="19">
        <v>13126</v>
      </c>
      <c r="O37" s="27">
        <f t="shared" si="25"/>
        <v>3698</v>
      </c>
      <c r="P37" s="29">
        <f t="shared" si="15"/>
        <v>39.223589308442932</v>
      </c>
    </row>
    <row r="38" spans="2:16" ht="15" thickBot="1">
      <c r="B38" s="9" t="s">
        <v>11</v>
      </c>
      <c r="C38" s="18" t="s">
        <v>140</v>
      </c>
      <c r="D38" s="19">
        <v>3125</v>
      </c>
      <c r="E38" s="19">
        <v>3421</v>
      </c>
      <c r="F38" s="27">
        <f t="shared" si="5"/>
        <v>296</v>
      </c>
      <c r="G38" s="28">
        <f t="shared" si="6"/>
        <v>9.4719999999999995</v>
      </c>
      <c r="H38" s="19">
        <v>3936</v>
      </c>
      <c r="I38" s="27">
        <f t="shared" si="31"/>
        <v>515</v>
      </c>
      <c r="J38" s="28">
        <f t="shared" si="9"/>
        <v>15.054077755042385</v>
      </c>
      <c r="K38" s="19">
        <v>3983</v>
      </c>
      <c r="L38" s="27">
        <f t="shared" si="26"/>
        <v>47</v>
      </c>
      <c r="M38" s="28">
        <f t="shared" si="12"/>
        <v>1.1941056910569106</v>
      </c>
      <c r="N38" s="19">
        <v>4111</v>
      </c>
      <c r="O38" s="27">
        <f t="shared" si="25"/>
        <v>128</v>
      </c>
      <c r="P38" s="29">
        <f t="shared" si="15"/>
        <v>3.2136580466984683</v>
      </c>
    </row>
    <row r="39" spans="2:16" ht="15" thickBot="1">
      <c r="B39" s="9" t="s">
        <v>13</v>
      </c>
      <c r="C39" s="18" t="s">
        <v>141</v>
      </c>
      <c r="D39" s="19">
        <v>7121</v>
      </c>
      <c r="E39" s="19">
        <v>7325</v>
      </c>
      <c r="F39" s="27">
        <f t="shared" si="5"/>
        <v>204</v>
      </c>
      <c r="G39" s="28">
        <f t="shared" si="6"/>
        <v>2.8647661845246453</v>
      </c>
      <c r="H39" s="19">
        <v>11983</v>
      </c>
      <c r="I39" s="27">
        <f t="shared" si="31"/>
        <v>4658</v>
      </c>
      <c r="J39" s="28">
        <f t="shared" si="9"/>
        <v>63.590443686006829</v>
      </c>
      <c r="K39" s="19">
        <v>15516</v>
      </c>
      <c r="L39" s="27">
        <f>K39-H39</f>
        <v>3533</v>
      </c>
      <c r="M39" s="28">
        <f t="shared" si="12"/>
        <v>29.483434866060254</v>
      </c>
      <c r="N39" s="19">
        <v>13428</v>
      </c>
      <c r="O39" s="27">
        <f t="shared" si="25"/>
        <v>-2088</v>
      </c>
      <c r="P39" s="29">
        <f t="shared" si="15"/>
        <v>-13.45707656612529</v>
      </c>
    </row>
    <row r="40" spans="2:16" ht="15" thickBot="1">
      <c r="B40" s="9" t="s">
        <v>25</v>
      </c>
      <c r="C40" s="18" t="s">
        <v>142</v>
      </c>
      <c r="D40" s="19">
        <v>0</v>
      </c>
      <c r="E40" s="19">
        <v>0</v>
      </c>
      <c r="F40" s="27">
        <f t="shared" si="5"/>
        <v>0</v>
      </c>
      <c r="G40" s="28" t="s">
        <v>227</v>
      </c>
      <c r="H40" s="19">
        <v>0</v>
      </c>
      <c r="I40" s="27">
        <f t="shared" si="31"/>
        <v>0</v>
      </c>
      <c r="J40" s="28" t="s">
        <v>227</v>
      </c>
      <c r="K40" s="19">
        <v>0</v>
      </c>
      <c r="L40" s="27">
        <f t="shared" ref="L40:L55" si="39">K40-H40</f>
        <v>0</v>
      </c>
      <c r="M40" s="28" t="s">
        <v>227</v>
      </c>
      <c r="N40" s="19">
        <v>0</v>
      </c>
      <c r="O40" s="27">
        <f t="shared" si="25"/>
        <v>0</v>
      </c>
      <c r="P40" s="28" t="s">
        <v>227</v>
      </c>
    </row>
    <row r="41" spans="2:16" ht="15" thickBot="1">
      <c r="B41" s="9" t="s">
        <v>110</v>
      </c>
      <c r="C41" s="18" t="s">
        <v>143</v>
      </c>
      <c r="D41" s="22">
        <v>7923</v>
      </c>
      <c r="E41" s="19">
        <v>8325</v>
      </c>
      <c r="F41" s="27">
        <f t="shared" si="5"/>
        <v>402</v>
      </c>
      <c r="G41" s="28">
        <f t="shared" si="6"/>
        <v>5.0738356683074599</v>
      </c>
      <c r="H41" s="22">
        <v>12117</v>
      </c>
      <c r="I41" s="27">
        <f t="shared" si="31"/>
        <v>3792</v>
      </c>
      <c r="J41" s="28">
        <f t="shared" si="9"/>
        <v>45.549549549549553</v>
      </c>
      <c r="K41" s="19">
        <v>14635</v>
      </c>
      <c r="L41" s="27">
        <f t="shared" si="39"/>
        <v>2518</v>
      </c>
      <c r="M41" s="28">
        <f t="shared" si="12"/>
        <v>20.780721300651976</v>
      </c>
      <c r="N41" s="19">
        <v>14543</v>
      </c>
      <c r="O41" s="27">
        <f t="shared" si="25"/>
        <v>-92</v>
      </c>
      <c r="P41" s="29">
        <f t="shared" si="15"/>
        <v>-0.62862999658353258</v>
      </c>
    </row>
    <row r="42" spans="2:16" ht="15" thickBot="1">
      <c r="B42" s="9" t="s">
        <v>112</v>
      </c>
      <c r="C42" s="18" t="s">
        <v>144</v>
      </c>
      <c r="D42" s="19">
        <v>0</v>
      </c>
      <c r="E42" s="19">
        <v>0</v>
      </c>
      <c r="F42" s="27">
        <f t="shared" si="5"/>
        <v>0</v>
      </c>
      <c r="G42" s="28" t="s">
        <v>227</v>
      </c>
      <c r="H42" s="19">
        <v>3</v>
      </c>
      <c r="I42" s="27">
        <f t="shared" si="31"/>
        <v>3</v>
      </c>
      <c r="J42" s="28" t="s">
        <v>227</v>
      </c>
      <c r="K42" s="19">
        <v>0</v>
      </c>
      <c r="L42" s="27">
        <f t="shared" si="39"/>
        <v>-3</v>
      </c>
      <c r="M42" s="28">
        <f t="shared" si="12"/>
        <v>-100</v>
      </c>
      <c r="N42" s="19">
        <v>0</v>
      </c>
      <c r="O42" s="27">
        <f>N42-K42</f>
        <v>0</v>
      </c>
      <c r="P42" s="28" t="s">
        <v>227</v>
      </c>
    </row>
    <row r="43" spans="2:16" ht="15" thickBot="1">
      <c r="B43" s="9" t="s">
        <v>7</v>
      </c>
      <c r="C43" s="24" t="s">
        <v>145</v>
      </c>
      <c r="D43" s="20">
        <f>SUM(D44:D51)</f>
        <v>238</v>
      </c>
      <c r="E43" s="20">
        <f t="shared" ref="E43" si="40">SUM(E44:E51)</f>
        <v>325</v>
      </c>
      <c r="F43" s="27">
        <f t="shared" si="5"/>
        <v>87</v>
      </c>
      <c r="G43" s="28">
        <f t="shared" si="6"/>
        <v>36.554621848739494</v>
      </c>
      <c r="H43" s="20">
        <f t="shared" ref="H43" si="41">SUM(H44:H51)</f>
        <v>363</v>
      </c>
      <c r="I43" s="27">
        <f t="shared" si="31"/>
        <v>38</v>
      </c>
      <c r="J43" s="28">
        <f t="shared" si="9"/>
        <v>11.692307692307692</v>
      </c>
      <c r="K43" s="20">
        <f t="shared" ref="K43" si="42">SUM(K44:K51)</f>
        <v>245</v>
      </c>
      <c r="L43" s="27">
        <f t="shared" si="39"/>
        <v>-118</v>
      </c>
      <c r="M43" s="28">
        <f t="shared" si="12"/>
        <v>-32.506887052341597</v>
      </c>
      <c r="N43" s="20">
        <f t="shared" ref="N43" si="43">SUM(N44:N51)</f>
        <v>125</v>
      </c>
      <c r="O43" s="27">
        <f t="shared" ref="O43:O54" si="44">N43-K43</f>
        <v>-120</v>
      </c>
      <c r="P43" s="29">
        <f t="shared" si="15"/>
        <v>-48.979591836734691</v>
      </c>
    </row>
    <row r="44" spans="2:16" ht="15" thickBot="1">
      <c r="B44" s="9" t="s">
        <v>9</v>
      </c>
      <c r="C44" s="18" t="s">
        <v>146</v>
      </c>
      <c r="D44" s="19">
        <v>238</v>
      </c>
      <c r="E44" s="19">
        <v>325</v>
      </c>
      <c r="F44" s="27">
        <f t="shared" si="5"/>
        <v>87</v>
      </c>
      <c r="G44" s="28">
        <f t="shared" si="6"/>
        <v>36.554621848739494</v>
      </c>
      <c r="H44" s="19">
        <v>363</v>
      </c>
      <c r="I44" s="27">
        <f t="shared" si="31"/>
        <v>38</v>
      </c>
      <c r="J44" s="28">
        <f>(H44-E44)/ABS(E44)*100</f>
        <v>11.692307692307692</v>
      </c>
      <c r="K44" s="19">
        <v>245</v>
      </c>
      <c r="L44" s="27">
        <f t="shared" si="39"/>
        <v>-118</v>
      </c>
      <c r="M44" s="28">
        <f t="shared" si="12"/>
        <v>-32.506887052341597</v>
      </c>
      <c r="N44" s="19">
        <v>125</v>
      </c>
      <c r="O44" s="27">
        <f t="shared" si="44"/>
        <v>-120</v>
      </c>
      <c r="P44" s="29">
        <f t="shared" si="15"/>
        <v>-48.979591836734691</v>
      </c>
    </row>
    <row r="45" spans="2:16" ht="15" thickBot="1">
      <c r="B45" s="9" t="s">
        <v>11</v>
      </c>
      <c r="C45" s="18" t="s">
        <v>147</v>
      </c>
      <c r="D45" s="19">
        <v>0</v>
      </c>
      <c r="E45" s="19">
        <v>0</v>
      </c>
      <c r="F45" s="27">
        <f t="shared" si="5"/>
        <v>0</v>
      </c>
      <c r="G45" s="28" t="s">
        <v>227</v>
      </c>
      <c r="H45" s="19">
        <v>0</v>
      </c>
      <c r="I45" s="27">
        <f t="shared" si="31"/>
        <v>0</v>
      </c>
      <c r="J45" s="28" t="s">
        <v>227</v>
      </c>
      <c r="K45" s="19">
        <v>0</v>
      </c>
      <c r="L45" s="27">
        <f t="shared" si="39"/>
        <v>0</v>
      </c>
      <c r="M45" s="28" t="s">
        <v>227</v>
      </c>
      <c r="N45" s="19">
        <v>0</v>
      </c>
      <c r="O45" s="27">
        <f t="shared" si="44"/>
        <v>0</v>
      </c>
      <c r="P45" s="28" t="s">
        <v>227</v>
      </c>
    </row>
    <row r="46" spans="2:16" ht="15" thickBot="1">
      <c r="B46" s="9" t="s">
        <v>13</v>
      </c>
      <c r="C46" s="18" t="s">
        <v>148</v>
      </c>
      <c r="D46" s="19">
        <v>0</v>
      </c>
      <c r="E46" s="19">
        <v>0</v>
      </c>
      <c r="F46" s="27">
        <f t="shared" si="5"/>
        <v>0</v>
      </c>
      <c r="G46" s="28" t="s">
        <v>227</v>
      </c>
      <c r="H46" s="19">
        <v>0</v>
      </c>
      <c r="I46" s="27">
        <f t="shared" si="31"/>
        <v>0</v>
      </c>
      <c r="J46" s="28" t="s">
        <v>227</v>
      </c>
      <c r="K46" s="19">
        <v>0</v>
      </c>
      <c r="L46" s="27">
        <f t="shared" si="39"/>
        <v>0</v>
      </c>
      <c r="M46" s="28" t="s">
        <v>227</v>
      </c>
      <c r="N46" s="19">
        <v>0</v>
      </c>
      <c r="O46" s="27">
        <f t="shared" si="44"/>
        <v>0</v>
      </c>
      <c r="P46" s="28" t="s">
        <v>227</v>
      </c>
    </row>
    <row r="47" spans="2:16" ht="15" thickBot="1">
      <c r="B47" s="9" t="s">
        <v>25</v>
      </c>
      <c r="C47" s="18" t="s">
        <v>149</v>
      </c>
      <c r="D47" s="19">
        <v>0</v>
      </c>
      <c r="E47" s="19">
        <v>0</v>
      </c>
      <c r="F47" s="27">
        <f t="shared" si="5"/>
        <v>0</v>
      </c>
      <c r="G47" s="28" t="s">
        <v>227</v>
      </c>
      <c r="H47" s="19">
        <v>0</v>
      </c>
      <c r="I47" s="27">
        <f t="shared" si="31"/>
        <v>0</v>
      </c>
      <c r="J47" s="28" t="s">
        <v>227</v>
      </c>
      <c r="K47" s="19">
        <v>0</v>
      </c>
      <c r="L47" s="27">
        <f t="shared" si="39"/>
        <v>0</v>
      </c>
      <c r="M47" s="28" t="s">
        <v>227</v>
      </c>
      <c r="N47" s="19">
        <v>0</v>
      </c>
      <c r="O47" s="27">
        <f t="shared" si="44"/>
        <v>0</v>
      </c>
      <c r="P47" s="28" t="s">
        <v>227</v>
      </c>
    </row>
    <row r="48" spans="2:16" ht="15" thickBot="1">
      <c r="B48" s="9" t="s">
        <v>110</v>
      </c>
      <c r="C48" s="18" t="s">
        <v>150</v>
      </c>
      <c r="D48" s="19">
        <v>0</v>
      </c>
      <c r="E48" s="19">
        <v>0</v>
      </c>
      <c r="F48" s="27">
        <f t="shared" si="5"/>
        <v>0</v>
      </c>
      <c r="G48" s="28" t="s">
        <v>227</v>
      </c>
      <c r="H48" s="19">
        <v>0</v>
      </c>
      <c r="I48" s="27">
        <f t="shared" si="31"/>
        <v>0</v>
      </c>
      <c r="J48" s="28" t="s">
        <v>227</v>
      </c>
      <c r="K48" s="19">
        <v>0</v>
      </c>
      <c r="L48" s="27">
        <f t="shared" si="39"/>
        <v>0</v>
      </c>
      <c r="M48" s="28" t="s">
        <v>227</v>
      </c>
      <c r="N48" s="19">
        <v>0</v>
      </c>
      <c r="O48" s="27">
        <f t="shared" si="44"/>
        <v>0</v>
      </c>
      <c r="P48" s="28" t="s">
        <v>227</v>
      </c>
    </row>
    <row r="49" spans="2:16" ht="15" thickBot="1">
      <c r="B49" s="9" t="s">
        <v>112</v>
      </c>
      <c r="C49" s="18" t="s">
        <v>151</v>
      </c>
      <c r="D49" s="19">
        <v>0</v>
      </c>
      <c r="E49" s="19">
        <v>0</v>
      </c>
      <c r="F49" s="27">
        <f t="shared" si="5"/>
        <v>0</v>
      </c>
      <c r="G49" s="28" t="s">
        <v>227</v>
      </c>
      <c r="H49" s="19">
        <v>0</v>
      </c>
      <c r="I49" s="27">
        <f t="shared" si="31"/>
        <v>0</v>
      </c>
      <c r="J49" s="28" t="s">
        <v>227</v>
      </c>
      <c r="K49" s="19">
        <v>0</v>
      </c>
      <c r="L49" s="27">
        <f t="shared" si="39"/>
        <v>0</v>
      </c>
      <c r="M49" s="28" t="s">
        <v>227</v>
      </c>
      <c r="N49" s="19">
        <v>0</v>
      </c>
      <c r="O49" s="27">
        <f t="shared" si="44"/>
        <v>0</v>
      </c>
      <c r="P49" s="28" t="s">
        <v>227</v>
      </c>
    </row>
    <row r="50" spans="2:16" ht="15" thickBot="1">
      <c r="B50" s="9" t="s">
        <v>114</v>
      </c>
      <c r="C50" s="18" t="s">
        <v>152</v>
      </c>
      <c r="D50" s="19">
        <v>0</v>
      </c>
      <c r="E50" s="19">
        <v>0</v>
      </c>
      <c r="F50" s="27">
        <f t="shared" si="5"/>
        <v>0</v>
      </c>
      <c r="G50" s="28" t="s">
        <v>227</v>
      </c>
      <c r="H50" s="19">
        <v>0</v>
      </c>
      <c r="I50" s="27">
        <f t="shared" si="31"/>
        <v>0</v>
      </c>
      <c r="J50" s="28" t="s">
        <v>227</v>
      </c>
      <c r="K50" s="19">
        <v>0</v>
      </c>
      <c r="L50" s="27">
        <f t="shared" si="39"/>
        <v>0</v>
      </c>
      <c r="M50" s="28" t="s">
        <v>227</v>
      </c>
      <c r="N50" s="19">
        <v>0</v>
      </c>
      <c r="O50" s="27">
        <f t="shared" si="44"/>
        <v>0</v>
      </c>
      <c r="P50" s="28" t="s">
        <v>227</v>
      </c>
    </row>
    <row r="51" spans="2:16" ht="15" thickBot="1">
      <c r="B51" s="9" t="s">
        <v>116</v>
      </c>
      <c r="C51" s="18" t="s">
        <v>153</v>
      </c>
      <c r="D51" s="19">
        <v>0</v>
      </c>
      <c r="E51" s="19">
        <v>0</v>
      </c>
      <c r="F51" s="27">
        <f t="shared" si="5"/>
        <v>0</v>
      </c>
      <c r="G51" s="28" t="s">
        <v>227</v>
      </c>
      <c r="H51" s="19">
        <v>0</v>
      </c>
      <c r="I51" s="27">
        <f t="shared" si="31"/>
        <v>0</v>
      </c>
      <c r="J51" s="28" t="s">
        <v>227</v>
      </c>
      <c r="K51" s="19">
        <v>0</v>
      </c>
      <c r="L51" s="27">
        <f t="shared" si="39"/>
        <v>0</v>
      </c>
      <c r="M51" s="28" t="s">
        <v>227</v>
      </c>
      <c r="N51" s="19">
        <v>0</v>
      </c>
      <c r="O51" s="27">
        <f t="shared" si="44"/>
        <v>0</v>
      </c>
      <c r="P51" s="28" t="s">
        <v>227</v>
      </c>
    </row>
    <row r="52" spans="2:16" ht="15" thickBot="1">
      <c r="B52" s="9" t="s">
        <v>31</v>
      </c>
      <c r="C52" s="24" t="s">
        <v>154</v>
      </c>
      <c r="D52" s="23">
        <f>SUM(D53:D61)</f>
        <v>26149</v>
      </c>
      <c r="E52" s="23">
        <f t="shared" ref="E52" si="45">SUM(E53:E61)</f>
        <v>29396</v>
      </c>
      <c r="F52" s="27">
        <f t="shared" si="5"/>
        <v>3247</v>
      </c>
      <c r="G52" s="28">
        <f t="shared" si="6"/>
        <v>12.417300852805079</v>
      </c>
      <c r="H52" s="23">
        <f t="shared" ref="H52" si="46">SUM(H53:H61)</f>
        <v>37374</v>
      </c>
      <c r="I52" s="27">
        <f t="shared" si="31"/>
        <v>7978</v>
      </c>
      <c r="J52" s="28">
        <f t="shared" si="9"/>
        <v>27.139746904340729</v>
      </c>
      <c r="K52" s="23">
        <f t="shared" ref="K52" si="47">SUM(K53:K61)</f>
        <v>43095</v>
      </c>
      <c r="L52" s="27">
        <f t="shared" si="39"/>
        <v>5721</v>
      </c>
      <c r="M52" s="28">
        <f t="shared" si="12"/>
        <v>15.307432974795313</v>
      </c>
      <c r="N52" s="23">
        <f t="shared" ref="N52" si="48">SUM(N53:N61)</f>
        <v>46209</v>
      </c>
      <c r="O52" s="27">
        <f t="shared" si="44"/>
        <v>3114</v>
      </c>
      <c r="P52" s="29">
        <f t="shared" si="15"/>
        <v>7.2258962756700313</v>
      </c>
    </row>
    <row r="53" spans="2:16" ht="15" thickBot="1">
      <c r="B53" s="9" t="s">
        <v>9</v>
      </c>
      <c r="C53" s="18" t="s">
        <v>146</v>
      </c>
      <c r="D53" s="22">
        <v>23145</v>
      </c>
      <c r="E53" s="19">
        <v>27262</v>
      </c>
      <c r="F53" s="27">
        <f t="shared" si="5"/>
        <v>4117</v>
      </c>
      <c r="G53" s="28">
        <f t="shared" si="6"/>
        <v>17.787859148844241</v>
      </c>
      <c r="H53" s="22">
        <v>34148</v>
      </c>
      <c r="I53" s="27">
        <f t="shared" si="31"/>
        <v>6886</v>
      </c>
      <c r="J53" s="28">
        <f t="shared" si="9"/>
        <v>25.258601716675226</v>
      </c>
      <c r="K53" s="22">
        <v>39925</v>
      </c>
      <c r="L53" s="27">
        <f t="shared" si="39"/>
        <v>5777</v>
      </c>
      <c r="M53" s="28">
        <f t="shared" si="12"/>
        <v>16.917535433993205</v>
      </c>
      <c r="N53" s="22">
        <v>41013</v>
      </c>
      <c r="O53" s="27">
        <f t="shared" si="44"/>
        <v>1088</v>
      </c>
      <c r="P53" s="29">
        <f t="shared" si="15"/>
        <v>2.7251095804633687</v>
      </c>
    </row>
    <row r="54" spans="2:16" ht="15" thickBot="1">
      <c r="B54" s="9" t="s">
        <v>11</v>
      </c>
      <c r="C54" s="18" t="s">
        <v>147</v>
      </c>
      <c r="D54" s="19">
        <v>0</v>
      </c>
      <c r="E54" s="19">
        <v>0</v>
      </c>
      <c r="F54" s="27">
        <f t="shared" si="5"/>
        <v>0</v>
      </c>
      <c r="G54" s="28" t="s">
        <v>227</v>
      </c>
      <c r="H54" s="19">
        <v>0</v>
      </c>
      <c r="I54" s="27">
        <f t="shared" si="31"/>
        <v>0</v>
      </c>
      <c r="J54" s="28" t="s">
        <v>227</v>
      </c>
      <c r="K54" s="19">
        <v>0</v>
      </c>
      <c r="L54" s="27">
        <f t="shared" si="39"/>
        <v>0</v>
      </c>
      <c r="M54" s="28" t="s">
        <v>227</v>
      </c>
      <c r="N54" s="19">
        <v>0</v>
      </c>
      <c r="O54" s="27">
        <f t="shared" si="44"/>
        <v>0</v>
      </c>
      <c r="P54" s="28" t="s">
        <v>227</v>
      </c>
    </row>
    <row r="55" spans="2:16" ht="15" thickBot="1">
      <c r="B55" s="9" t="s">
        <v>13</v>
      </c>
      <c r="C55" s="18" t="s">
        <v>148</v>
      </c>
      <c r="D55" s="19">
        <v>0</v>
      </c>
      <c r="E55" s="19">
        <v>0</v>
      </c>
      <c r="F55" s="27">
        <f t="shared" si="5"/>
        <v>0</v>
      </c>
      <c r="G55" s="28" t="s">
        <v>227</v>
      </c>
      <c r="H55" s="19">
        <v>0</v>
      </c>
      <c r="I55" s="27">
        <f t="shared" si="31"/>
        <v>0</v>
      </c>
      <c r="J55" s="28" t="s">
        <v>227</v>
      </c>
      <c r="K55" s="19">
        <v>0</v>
      </c>
      <c r="L55" s="27">
        <f t="shared" si="39"/>
        <v>0</v>
      </c>
      <c r="M55" s="28" t="s">
        <v>227</v>
      </c>
      <c r="N55" s="19">
        <v>0</v>
      </c>
      <c r="O55" s="27">
        <f>N55-K55</f>
        <v>0</v>
      </c>
      <c r="P55" s="28" t="s">
        <v>227</v>
      </c>
    </row>
    <row r="56" spans="2:16" ht="15" thickBot="1">
      <c r="B56" s="9" t="s">
        <v>25</v>
      </c>
      <c r="C56" s="18" t="s">
        <v>149</v>
      </c>
      <c r="D56" s="19">
        <v>0</v>
      </c>
      <c r="E56" s="19">
        <v>0</v>
      </c>
      <c r="F56" s="27">
        <f t="shared" si="5"/>
        <v>0</v>
      </c>
      <c r="G56" s="28" t="s">
        <v>227</v>
      </c>
      <c r="H56" s="19">
        <v>0</v>
      </c>
      <c r="I56" s="27">
        <f t="shared" si="31"/>
        <v>0</v>
      </c>
      <c r="J56" s="28" t="s">
        <v>227</v>
      </c>
      <c r="K56" s="19">
        <v>0</v>
      </c>
      <c r="L56" s="27">
        <f>K56-H56</f>
        <v>0</v>
      </c>
      <c r="M56" s="28" t="s">
        <v>227</v>
      </c>
      <c r="N56" s="19">
        <v>0</v>
      </c>
      <c r="O56" s="27">
        <f t="shared" ref="O56:O70" si="49">N56-K56</f>
        <v>0</v>
      </c>
      <c r="P56" s="28" t="s">
        <v>227</v>
      </c>
    </row>
    <row r="57" spans="2:16" ht="15" thickBot="1">
      <c r="B57" s="9" t="s">
        <v>110</v>
      </c>
      <c r="C57" s="18" t="s">
        <v>155</v>
      </c>
      <c r="D57" s="19">
        <v>0</v>
      </c>
      <c r="E57" s="19">
        <v>0</v>
      </c>
      <c r="F57" s="27">
        <f t="shared" si="5"/>
        <v>0</v>
      </c>
      <c r="G57" s="28" t="s">
        <v>227</v>
      </c>
      <c r="H57" s="19">
        <v>0</v>
      </c>
      <c r="I57" s="27">
        <f t="shared" si="31"/>
        <v>0</v>
      </c>
      <c r="J57" s="28" t="s">
        <v>227</v>
      </c>
      <c r="K57" s="19">
        <v>0</v>
      </c>
      <c r="L57" s="27">
        <f t="shared" ref="L57:L70" si="50">K57-H57</f>
        <v>0</v>
      </c>
      <c r="M57" s="28" t="s">
        <v>227</v>
      </c>
      <c r="N57" s="19">
        <v>0</v>
      </c>
      <c r="O57" s="27">
        <f t="shared" si="49"/>
        <v>0</v>
      </c>
      <c r="P57" s="28" t="s">
        <v>227</v>
      </c>
    </row>
    <row r="58" spans="2:16" ht="15" thickBot="1">
      <c r="B58" s="9" t="s">
        <v>112</v>
      </c>
      <c r="C58" s="18" t="s">
        <v>156</v>
      </c>
      <c r="D58" s="19">
        <v>273</v>
      </c>
      <c r="E58" s="19">
        <v>826</v>
      </c>
      <c r="F58" s="27">
        <f t="shared" si="5"/>
        <v>553</v>
      </c>
      <c r="G58" s="28">
        <f t="shared" si="6"/>
        <v>202.56410256410254</v>
      </c>
      <c r="H58" s="19">
        <v>1623</v>
      </c>
      <c r="I58" s="27">
        <f t="shared" si="31"/>
        <v>797</v>
      </c>
      <c r="J58" s="28">
        <f t="shared" si="9"/>
        <v>96.489104116222762</v>
      </c>
      <c r="K58" s="19">
        <v>248</v>
      </c>
      <c r="L58" s="27">
        <f t="shared" si="50"/>
        <v>-1375</v>
      </c>
      <c r="M58" s="28">
        <f>(K58-H58)/ABS(H58)*100</f>
        <v>-84.719654959950702</v>
      </c>
      <c r="N58" s="19">
        <v>1725</v>
      </c>
      <c r="O58" s="27">
        <f t="shared" si="49"/>
        <v>1477</v>
      </c>
      <c r="P58" s="29">
        <f t="shared" si="15"/>
        <v>595.56451612903231</v>
      </c>
    </row>
    <row r="59" spans="2:16" ht="15" thickBot="1">
      <c r="B59" s="9" t="s">
        <v>114</v>
      </c>
      <c r="C59" s="18" t="s">
        <v>157</v>
      </c>
      <c r="D59" s="19">
        <v>693</v>
      </c>
      <c r="E59" s="19">
        <v>328</v>
      </c>
      <c r="F59" s="27">
        <f t="shared" si="5"/>
        <v>-365</v>
      </c>
      <c r="G59" s="28">
        <f t="shared" si="6"/>
        <v>-52.669552669552665</v>
      </c>
      <c r="H59" s="19">
        <v>745</v>
      </c>
      <c r="I59" s="27">
        <f t="shared" si="31"/>
        <v>417</v>
      </c>
      <c r="J59" s="28">
        <f t="shared" si="9"/>
        <v>127.13414634146341</v>
      </c>
      <c r="K59" s="19">
        <v>1926</v>
      </c>
      <c r="L59" s="27">
        <f t="shared" si="50"/>
        <v>1181</v>
      </c>
      <c r="M59" s="28">
        <f t="shared" si="12"/>
        <v>158.52348993288589</v>
      </c>
      <c r="N59" s="19">
        <v>2455</v>
      </c>
      <c r="O59" s="27">
        <f t="shared" si="49"/>
        <v>529</v>
      </c>
      <c r="P59" s="29">
        <f t="shared" si="15"/>
        <v>27.466251298027</v>
      </c>
    </row>
    <row r="60" spans="2:16" ht="15" thickBot="1">
      <c r="B60" s="9" t="s">
        <v>116</v>
      </c>
      <c r="C60" s="18" t="s">
        <v>151</v>
      </c>
      <c r="D60" s="19">
        <v>1325</v>
      </c>
      <c r="E60" s="19">
        <v>485</v>
      </c>
      <c r="F60" s="27">
        <f t="shared" si="5"/>
        <v>-840</v>
      </c>
      <c r="G60" s="28">
        <f t="shared" si="6"/>
        <v>-63.39622641509434</v>
      </c>
      <c r="H60" s="19">
        <v>322</v>
      </c>
      <c r="I60" s="27">
        <f t="shared" si="31"/>
        <v>-163</v>
      </c>
      <c r="J60" s="28">
        <f t="shared" si="9"/>
        <v>-33.608247422680414</v>
      </c>
      <c r="K60" s="19">
        <v>268</v>
      </c>
      <c r="L60" s="27">
        <f t="shared" si="50"/>
        <v>-54</v>
      </c>
      <c r="M60" s="28">
        <f t="shared" si="12"/>
        <v>-16.770186335403729</v>
      </c>
      <c r="N60" s="19">
        <v>453</v>
      </c>
      <c r="O60" s="27">
        <f t="shared" si="49"/>
        <v>185</v>
      </c>
      <c r="P60" s="29">
        <f t="shared" si="15"/>
        <v>69.029850746268664</v>
      </c>
    </row>
    <row r="61" spans="2:16" ht="15" thickBot="1">
      <c r="B61" s="9" t="s">
        <v>127</v>
      </c>
      <c r="C61" s="18" t="s">
        <v>152</v>
      </c>
      <c r="D61" s="19">
        <v>713</v>
      </c>
      <c r="E61" s="19">
        <v>495</v>
      </c>
      <c r="F61" s="27">
        <f t="shared" si="5"/>
        <v>-218</v>
      </c>
      <c r="G61" s="28">
        <f t="shared" si="6"/>
        <v>-30.575035063113603</v>
      </c>
      <c r="H61" s="19">
        <v>536</v>
      </c>
      <c r="I61" s="27">
        <f t="shared" si="31"/>
        <v>41</v>
      </c>
      <c r="J61" s="28">
        <f t="shared" si="9"/>
        <v>8.2828282828282838</v>
      </c>
      <c r="K61" s="19">
        <v>728</v>
      </c>
      <c r="L61" s="27">
        <f t="shared" si="50"/>
        <v>192</v>
      </c>
      <c r="M61" s="28">
        <f t="shared" si="12"/>
        <v>35.820895522388057</v>
      </c>
      <c r="N61" s="19">
        <v>563</v>
      </c>
      <c r="O61" s="27">
        <f t="shared" si="49"/>
        <v>-165</v>
      </c>
      <c r="P61" s="29">
        <f t="shared" si="15"/>
        <v>-22.664835164835164</v>
      </c>
    </row>
    <row r="62" spans="2:16" ht="15" thickBot="1">
      <c r="B62" s="9" t="s">
        <v>41</v>
      </c>
      <c r="C62" s="24" t="s">
        <v>158</v>
      </c>
      <c r="D62" s="20">
        <f>SUM(D63:D66)</f>
        <v>18498</v>
      </c>
      <c r="E62" s="20">
        <f t="shared" ref="E62" si="51">SUM(E63:E66)</f>
        <v>18661</v>
      </c>
      <c r="F62" s="27">
        <f t="shared" si="5"/>
        <v>163</v>
      </c>
      <c r="G62" s="28">
        <f t="shared" si="6"/>
        <v>0.88117634338847439</v>
      </c>
      <c r="H62" s="20">
        <f t="shared" ref="H62" si="52">SUM(H63:H66)</f>
        <v>14966</v>
      </c>
      <c r="I62" s="27">
        <f t="shared" si="31"/>
        <v>-3695</v>
      </c>
      <c r="J62" s="28">
        <f t="shared" si="9"/>
        <v>-19.800653769894431</v>
      </c>
      <c r="K62" s="20">
        <f t="shared" ref="K62" si="53">SUM(K63:K66)</f>
        <v>14269</v>
      </c>
      <c r="L62" s="27">
        <f t="shared" si="50"/>
        <v>-697</v>
      </c>
      <c r="M62" s="28">
        <f t="shared" si="12"/>
        <v>-4.657223038888147</v>
      </c>
      <c r="N62" s="20">
        <f t="shared" ref="N62" si="54">SUM(N63:N66)</f>
        <v>19119</v>
      </c>
      <c r="O62" s="27">
        <f t="shared" si="49"/>
        <v>4850</v>
      </c>
      <c r="P62" s="29">
        <f t="shared" si="15"/>
        <v>33.989768028593453</v>
      </c>
    </row>
    <row r="63" spans="2:16" ht="15" thickBot="1">
      <c r="B63" s="9" t="s">
        <v>9</v>
      </c>
      <c r="C63" s="18" t="s">
        <v>159</v>
      </c>
      <c r="D63" s="19">
        <v>935</v>
      </c>
      <c r="E63" s="19">
        <v>726</v>
      </c>
      <c r="F63" s="27">
        <f t="shared" si="5"/>
        <v>-209</v>
      </c>
      <c r="G63" s="28">
        <f t="shared" si="6"/>
        <v>-22.352941176470591</v>
      </c>
      <c r="H63" s="19">
        <v>713</v>
      </c>
      <c r="I63" s="27">
        <f t="shared" si="31"/>
        <v>-13</v>
      </c>
      <c r="J63" s="28">
        <f t="shared" si="9"/>
        <v>-1.7906336088154271</v>
      </c>
      <c r="K63" s="19">
        <v>784</v>
      </c>
      <c r="L63" s="27">
        <f t="shared" si="50"/>
        <v>71</v>
      </c>
      <c r="M63" s="28">
        <f t="shared" si="12"/>
        <v>9.9579242636746148</v>
      </c>
      <c r="N63" s="19">
        <v>1121</v>
      </c>
      <c r="O63" s="27">
        <f t="shared" si="49"/>
        <v>337</v>
      </c>
      <c r="P63" s="29">
        <f t="shared" si="15"/>
        <v>42.984693877551024</v>
      </c>
    </row>
    <row r="64" spans="2:16" ht="15" thickBot="1">
      <c r="B64" s="9" t="s">
        <v>11</v>
      </c>
      <c r="C64" s="18" t="s">
        <v>160</v>
      </c>
      <c r="D64" s="19">
        <v>17563</v>
      </c>
      <c r="E64" s="19">
        <v>17935</v>
      </c>
      <c r="F64" s="27">
        <f t="shared" si="5"/>
        <v>372</v>
      </c>
      <c r="G64" s="28">
        <f t="shared" si="6"/>
        <v>2.1180891647212889</v>
      </c>
      <c r="H64" s="19">
        <v>14253</v>
      </c>
      <c r="I64" s="27">
        <f t="shared" si="31"/>
        <v>-3682</v>
      </c>
      <c r="J64" s="28">
        <f t="shared" si="9"/>
        <v>-20.529690549205466</v>
      </c>
      <c r="K64" s="19">
        <v>13485</v>
      </c>
      <c r="L64" s="27">
        <f t="shared" si="50"/>
        <v>-768</v>
      </c>
      <c r="M64" s="28">
        <f t="shared" si="12"/>
        <v>-5.3883392969901074</v>
      </c>
      <c r="N64" s="19">
        <v>17998</v>
      </c>
      <c r="O64" s="27">
        <f t="shared" si="49"/>
        <v>4513</v>
      </c>
      <c r="P64" s="29">
        <f t="shared" si="15"/>
        <v>33.466814979606966</v>
      </c>
    </row>
    <row r="65" spans="2:16" ht="15" thickBot="1">
      <c r="B65" s="9" t="s">
        <v>13</v>
      </c>
      <c r="C65" s="18" t="s">
        <v>161</v>
      </c>
      <c r="D65" s="19">
        <v>0</v>
      </c>
      <c r="E65" s="19">
        <v>0</v>
      </c>
      <c r="F65" s="27">
        <f t="shared" si="5"/>
        <v>0</v>
      </c>
      <c r="G65" s="28" t="s">
        <v>227</v>
      </c>
      <c r="H65" s="19">
        <v>0</v>
      </c>
      <c r="I65" s="27">
        <f t="shared" si="31"/>
        <v>0</v>
      </c>
      <c r="J65" s="28" t="s">
        <v>227</v>
      </c>
      <c r="K65" s="19">
        <v>0</v>
      </c>
      <c r="L65" s="27">
        <f t="shared" si="50"/>
        <v>0</v>
      </c>
      <c r="M65" s="28" t="s">
        <v>227</v>
      </c>
      <c r="N65" s="19">
        <v>0</v>
      </c>
      <c r="O65" s="27">
        <f t="shared" si="49"/>
        <v>0</v>
      </c>
      <c r="P65" s="28" t="s">
        <v>227</v>
      </c>
    </row>
    <row r="66" spans="2:16" ht="15" thickBot="1">
      <c r="B66" s="9" t="s">
        <v>25</v>
      </c>
      <c r="C66" s="18" t="s">
        <v>162</v>
      </c>
      <c r="D66" s="19">
        <v>0</v>
      </c>
      <c r="E66" s="19">
        <v>0</v>
      </c>
      <c r="F66" s="27">
        <f t="shared" si="5"/>
        <v>0</v>
      </c>
      <c r="G66" s="28" t="s">
        <v>227</v>
      </c>
      <c r="H66" s="19">
        <v>0</v>
      </c>
      <c r="I66" s="27">
        <f t="shared" si="31"/>
        <v>0</v>
      </c>
      <c r="J66" s="28" t="s">
        <v>227</v>
      </c>
      <c r="K66" s="19">
        <v>0</v>
      </c>
      <c r="L66" s="27">
        <f t="shared" si="50"/>
        <v>0</v>
      </c>
      <c r="M66" s="28" t="s">
        <v>227</v>
      </c>
      <c r="N66" s="19">
        <v>0</v>
      </c>
      <c r="O66" s="27">
        <f t="shared" si="49"/>
        <v>0</v>
      </c>
      <c r="P66" s="28" t="s">
        <v>227</v>
      </c>
    </row>
    <row r="67" spans="2:16" ht="15" thickBot="1">
      <c r="B67" s="15" t="s">
        <v>163</v>
      </c>
      <c r="C67" s="21" t="s">
        <v>164</v>
      </c>
      <c r="D67" s="20">
        <f>SUM(D68:D70)</f>
        <v>4090</v>
      </c>
      <c r="E67" s="20">
        <f t="shared" ref="E67" si="55">SUM(E68:E70)</f>
        <v>5256</v>
      </c>
      <c r="F67" s="27">
        <f t="shared" si="5"/>
        <v>1166</v>
      </c>
      <c r="G67" s="28">
        <f t="shared" si="6"/>
        <v>28.508557457212714</v>
      </c>
      <c r="H67" s="20">
        <f t="shared" ref="H67" si="56">SUM(H68:H70)</f>
        <v>6229</v>
      </c>
      <c r="I67" s="27">
        <f t="shared" si="31"/>
        <v>973</v>
      </c>
      <c r="J67" s="28">
        <f t="shared" si="9"/>
        <v>18.512176560121766</v>
      </c>
      <c r="K67" s="20">
        <f t="shared" ref="K67" si="57">SUM(K68:K70)</f>
        <v>7447</v>
      </c>
      <c r="L67" s="27">
        <f t="shared" si="50"/>
        <v>1218</v>
      </c>
      <c r="M67" s="28">
        <f t="shared" si="12"/>
        <v>19.553700433456413</v>
      </c>
      <c r="N67" s="20">
        <f t="shared" ref="N67" si="58">SUM(N68:N70)</f>
        <v>9266</v>
      </c>
      <c r="O67" s="27">
        <f t="shared" si="49"/>
        <v>1819</v>
      </c>
      <c r="P67" s="29">
        <f t="shared" si="15"/>
        <v>24.425943332885723</v>
      </c>
    </row>
    <row r="68" spans="2:16" ht="15" thickBot="1">
      <c r="B68" s="9" t="s">
        <v>9</v>
      </c>
      <c r="C68" s="18" t="s">
        <v>165</v>
      </c>
      <c r="D68" s="19">
        <v>3845</v>
      </c>
      <c r="E68" s="19">
        <v>4628</v>
      </c>
      <c r="F68" s="27">
        <f t="shared" si="5"/>
        <v>783</v>
      </c>
      <c r="G68" s="28">
        <f t="shared" si="6"/>
        <v>20.364109232769831</v>
      </c>
      <c r="H68" s="19">
        <v>5435</v>
      </c>
      <c r="I68" s="27">
        <f t="shared" si="31"/>
        <v>807</v>
      </c>
      <c r="J68" s="28">
        <f t="shared" si="9"/>
        <v>17.437337942955921</v>
      </c>
      <c r="K68" s="19">
        <v>6234</v>
      </c>
      <c r="L68" s="27">
        <f t="shared" si="50"/>
        <v>799</v>
      </c>
      <c r="M68" s="28">
        <f t="shared" si="12"/>
        <v>14.701011959521621</v>
      </c>
      <c r="N68" s="19">
        <v>8421</v>
      </c>
      <c r="O68" s="27">
        <f t="shared" si="49"/>
        <v>2187</v>
      </c>
      <c r="P68" s="29">
        <f t="shared" si="15"/>
        <v>35.081809432146294</v>
      </c>
    </row>
    <row r="69" spans="2:16" ht="15" thickBot="1">
      <c r="B69" s="9" t="s">
        <v>11</v>
      </c>
      <c r="C69" s="18" t="s">
        <v>166</v>
      </c>
      <c r="D69" s="19">
        <v>0</v>
      </c>
      <c r="E69" s="19">
        <v>0</v>
      </c>
      <c r="F69" s="27">
        <f t="shared" si="5"/>
        <v>0</v>
      </c>
      <c r="G69" s="28" t="s">
        <v>227</v>
      </c>
      <c r="H69" s="19">
        <v>0</v>
      </c>
      <c r="I69" s="27">
        <f t="shared" si="31"/>
        <v>0</v>
      </c>
      <c r="J69" s="28" t="s">
        <v>227</v>
      </c>
      <c r="K69" s="19">
        <v>0</v>
      </c>
      <c r="L69" s="27">
        <f t="shared" si="50"/>
        <v>0</v>
      </c>
      <c r="M69" s="28" t="s">
        <v>227</v>
      </c>
      <c r="N69" s="19">
        <v>0</v>
      </c>
      <c r="O69" s="27">
        <f t="shared" si="49"/>
        <v>0</v>
      </c>
      <c r="P69" s="28" t="s">
        <v>227</v>
      </c>
    </row>
    <row r="70" spans="2:16" ht="15" thickBot="1">
      <c r="B70" s="37" t="s">
        <v>13</v>
      </c>
      <c r="C70" s="2" t="s">
        <v>167</v>
      </c>
      <c r="D70" s="19">
        <v>245</v>
      </c>
      <c r="E70" s="19">
        <v>628</v>
      </c>
      <c r="F70" s="38">
        <f t="shared" si="5"/>
        <v>383</v>
      </c>
      <c r="G70" s="28">
        <f t="shared" ref="G70" si="59">(E70-D70)/ABS(D70)*100</f>
        <v>156.32653061224491</v>
      </c>
      <c r="H70" s="19">
        <v>794</v>
      </c>
      <c r="I70" s="38">
        <f t="shared" si="31"/>
        <v>166</v>
      </c>
      <c r="J70" s="28">
        <f t="shared" ref="J70" si="60">(H70-E70)/ABS(E70)*100</f>
        <v>26.433121019108281</v>
      </c>
      <c r="K70" s="19">
        <v>1213</v>
      </c>
      <c r="L70" s="38">
        <f t="shared" si="50"/>
        <v>419</v>
      </c>
      <c r="M70" s="28">
        <f t="shared" ref="M70" si="61">(K70-H70)/ABS(H70)*100</f>
        <v>52.770780856423173</v>
      </c>
      <c r="N70" s="19">
        <v>845</v>
      </c>
      <c r="O70" s="38">
        <f t="shared" si="49"/>
        <v>-368</v>
      </c>
      <c r="P70" s="29">
        <f t="shared" ref="P70" si="62">(N70-K70)/ABS(K70)*100</f>
        <v>-30.33800494641385</v>
      </c>
    </row>
    <row r="71" spans="2:16" s="32" customFormat="1">
      <c r="B71" s="31"/>
      <c r="D71" s="33"/>
      <c r="E71" s="33"/>
      <c r="F71" s="34"/>
      <c r="G71" s="35"/>
      <c r="H71" s="33"/>
      <c r="I71" s="34"/>
      <c r="J71" s="35"/>
      <c r="K71" s="33"/>
      <c r="L71" s="34"/>
      <c r="M71" s="35"/>
      <c r="N71" s="33"/>
      <c r="O71" s="34"/>
      <c r="P71" s="36"/>
    </row>
    <row r="72" spans="2:16" s="32" customFormat="1" ht="15" thickBot="1">
      <c r="B72" s="31"/>
      <c r="D72" s="33"/>
      <c r="E72" s="33"/>
      <c r="F72" s="34"/>
      <c r="G72" s="35"/>
      <c r="H72" s="33"/>
      <c r="I72" s="34"/>
      <c r="J72" s="35"/>
      <c r="K72" s="33"/>
      <c r="L72" s="34"/>
      <c r="M72" s="35"/>
      <c r="N72" s="33"/>
      <c r="O72" s="34"/>
      <c r="P72" s="36"/>
    </row>
    <row r="73" spans="2:16" s="32" customFormat="1" ht="15" thickBot="1">
      <c r="B73" s="324" t="s">
        <v>0</v>
      </c>
      <c r="C73" s="324" t="s">
        <v>168</v>
      </c>
      <c r="D73" s="324">
        <v>2002</v>
      </c>
      <c r="E73" s="324">
        <v>2003</v>
      </c>
      <c r="F73" s="326" t="s">
        <v>223</v>
      </c>
      <c r="G73" s="327"/>
      <c r="H73" s="324">
        <v>2004</v>
      </c>
      <c r="I73" s="326" t="s">
        <v>220</v>
      </c>
      <c r="J73" s="327"/>
      <c r="K73" s="324">
        <v>2005</v>
      </c>
      <c r="L73" s="326" t="s">
        <v>224</v>
      </c>
      <c r="M73" s="327"/>
      <c r="N73" s="324">
        <v>2006</v>
      </c>
      <c r="O73" s="326" t="s">
        <v>225</v>
      </c>
      <c r="P73" s="327"/>
    </row>
    <row r="74" spans="2:16" s="32" customFormat="1" ht="15" thickBot="1">
      <c r="B74" s="325"/>
      <c r="C74" s="325"/>
      <c r="D74" s="325"/>
      <c r="E74" s="325"/>
      <c r="F74" s="26" t="s">
        <v>221</v>
      </c>
      <c r="G74" s="26" t="s">
        <v>222</v>
      </c>
      <c r="H74" s="325"/>
      <c r="I74" s="26" t="s">
        <v>221</v>
      </c>
      <c r="J74" s="26" t="s">
        <v>222</v>
      </c>
      <c r="K74" s="325"/>
      <c r="L74" s="26" t="s">
        <v>221</v>
      </c>
      <c r="M74" s="26" t="s">
        <v>222</v>
      </c>
      <c r="N74" s="325"/>
      <c r="O74" s="26" t="s">
        <v>221</v>
      </c>
      <c r="P74" s="26" t="s">
        <v>222</v>
      </c>
    </row>
    <row r="75" spans="2:16" ht="15" thickBot="1">
      <c r="B75" s="4"/>
      <c r="C75" s="21" t="s">
        <v>169</v>
      </c>
      <c r="D75" s="23">
        <f>D76+D93+D126</f>
        <v>152051.39500000002</v>
      </c>
      <c r="E75" s="23">
        <f t="shared" ref="E75" si="63">E76+E93+E126</f>
        <v>193206.505</v>
      </c>
      <c r="F75" s="27">
        <f t="shared" ref="F75:F128" si="64">E75-D75</f>
        <v>41155.109999999986</v>
      </c>
      <c r="G75" s="28">
        <f t="shared" ref="G75:G128" si="65">(E75-D75)/ABS(D75)*100</f>
        <v>27.066578376344381</v>
      </c>
      <c r="H75" s="23">
        <f t="shared" ref="H75" si="66">H76+H93+H126</f>
        <v>211869.85700000002</v>
      </c>
      <c r="I75" s="27">
        <f t="shared" si="31"/>
        <v>18663.352000000014</v>
      </c>
      <c r="J75" s="28">
        <f>(H75-E75)/ABS(E75)*100</f>
        <v>9.6597948397234408</v>
      </c>
      <c r="K75" s="23">
        <f t="shared" ref="K75" si="67">K76+K93+K126</f>
        <v>220504.83600000001</v>
      </c>
      <c r="L75" s="27">
        <f t="shared" ref="L75:L85" si="68">K75-H75</f>
        <v>8634.9789999999921</v>
      </c>
      <c r="M75" s="28">
        <f t="shared" ref="M75:M128" si="69">(K75-H75)/ABS(H75)*100</f>
        <v>4.0756052428920979</v>
      </c>
      <c r="N75" s="23">
        <f t="shared" ref="N75" si="70">N76+N93+N126</f>
        <v>241979.72500000001</v>
      </c>
      <c r="O75" s="27">
        <f t="shared" ref="O75:O88" si="71">N75-K75</f>
        <v>21474.888999999996</v>
      </c>
      <c r="P75" s="29">
        <f t="shared" ref="P75:P127" si="72">(N75-K75)/ABS(K75)*100</f>
        <v>9.7389650900899039</v>
      </c>
    </row>
    <row r="76" spans="2:16" ht="15" thickBot="1">
      <c r="B76" s="15" t="s">
        <v>3</v>
      </c>
      <c r="C76" s="21" t="s">
        <v>170</v>
      </c>
      <c r="D76" s="23">
        <f>D77+D81+D86+D89+D92</f>
        <v>95258.395000000004</v>
      </c>
      <c r="E76" s="23">
        <f t="shared" ref="E76" si="73">E77+E81+E86+E89+E92</f>
        <v>119053.505</v>
      </c>
      <c r="F76" s="27">
        <f t="shared" si="64"/>
        <v>23795.11</v>
      </c>
      <c r="G76" s="28">
        <f t="shared" si="65"/>
        <v>24.979541173247775</v>
      </c>
      <c r="H76" s="23">
        <f t="shared" ref="H76" si="74">H77+H81+H86+H89+H92</f>
        <v>134771.85700000002</v>
      </c>
      <c r="I76" s="27">
        <f t="shared" si="31"/>
        <v>15718.352000000014</v>
      </c>
      <c r="J76" s="28">
        <f t="shared" ref="J76:J128" si="75">(H76-E76)/ABS(E76)*100</f>
        <v>13.202762908996265</v>
      </c>
      <c r="K76" s="23">
        <f t="shared" ref="K76" si="76">K77+K81+K86+K89+K92</f>
        <v>154213.83600000001</v>
      </c>
      <c r="L76" s="27">
        <f t="shared" si="68"/>
        <v>19441.978999999992</v>
      </c>
      <c r="M76" s="28">
        <f t="shared" si="69"/>
        <v>14.425844855725323</v>
      </c>
      <c r="N76" s="23">
        <f t="shared" ref="N76" si="77">N77+N81+N86+N89+N92</f>
        <v>163022.72500000001</v>
      </c>
      <c r="O76" s="27">
        <f t="shared" si="71"/>
        <v>8808.8889999999956</v>
      </c>
      <c r="P76" s="29">
        <f t="shared" si="72"/>
        <v>5.7121262452741242</v>
      </c>
    </row>
    <row r="77" spans="2:16" ht="15" thickBot="1">
      <c r="B77" s="9" t="s">
        <v>1</v>
      </c>
      <c r="C77" s="24" t="s">
        <v>171</v>
      </c>
      <c r="D77" s="23">
        <f>SUM(D78:D80)</f>
        <v>12000</v>
      </c>
      <c r="E77" s="23">
        <f t="shared" ref="E77" si="78">SUM(E78:E80)</f>
        <v>12000</v>
      </c>
      <c r="F77" s="27">
        <f t="shared" si="64"/>
        <v>0</v>
      </c>
      <c r="G77" s="28">
        <f t="shared" si="65"/>
        <v>0</v>
      </c>
      <c r="H77" s="23">
        <f t="shared" ref="H77" si="79">SUM(H78:H80)</f>
        <v>12000</v>
      </c>
      <c r="I77" s="27">
        <f t="shared" si="31"/>
        <v>0</v>
      </c>
      <c r="J77" s="28">
        <f t="shared" si="75"/>
        <v>0</v>
      </c>
      <c r="K77" s="23">
        <f t="shared" ref="K77" si="80">SUM(K78:K80)</f>
        <v>12000</v>
      </c>
      <c r="L77" s="27">
        <f t="shared" si="68"/>
        <v>0</v>
      </c>
      <c r="M77" s="28">
        <f t="shared" si="69"/>
        <v>0</v>
      </c>
      <c r="N77" s="23">
        <f t="shared" ref="N77" si="81">SUM(N78:N80)</f>
        <v>12000</v>
      </c>
      <c r="O77" s="27">
        <f t="shared" si="71"/>
        <v>0</v>
      </c>
      <c r="P77" s="29">
        <f t="shared" si="72"/>
        <v>0</v>
      </c>
    </row>
    <row r="78" spans="2:16" ht="15" thickBot="1">
      <c r="B78" s="9" t="s">
        <v>9</v>
      </c>
      <c r="C78" s="18" t="s">
        <v>172</v>
      </c>
      <c r="D78" s="22">
        <v>12000</v>
      </c>
      <c r="E78" s="22">
        <v>12000</v>
      </c>
      <c r="F78" s="27">
        <f t="shared" si="64"/>
        <v>0</v>
      </c>
      <c r="G78" s="28">
        <f t="shared" si="65"/>
        <v>0</v>
      </c>
      <c r="H78" s="22">
        <v>12000</v>
      </c>
      <c r="I78" s="27">
        <f t="shared" si="31"/>
        <v>0</v>
      </c>
      <c r="J78" s="28">
        <f t="shared" si="75"/>
        <v>0</v>
      </c>
      <c r="K78" s="22">
        <v>12000</v>
      </c>
      <c r="L78" s="27">
        <f t="shared" si="68"/>
        <v>0</v>
      </c>
      <c r="M78" s="28">
        <f t="shared" si="69"/>
        <v>0</v>
      </c>
      <c r="N78" s="22">
        <v>12000</v>
      </c>
      <c r="O78" s="27">
        <f t="shared" si="71"/>
        <v>0</v>
      </c>
      <c r="P78" s="29">
        <f t="shared" si="72"/>
        <v>0</v>
      </c>
    </row>
    <row r="79" spans="2:16" ht="15" thickBot="1">
      <c r="B79" s="9" t="s">
        <v>11</v>
      </c>
      <c r="C79" s="18" t="s">
        <v>173</v>
      </c>
      <c r="D79" s="19">
        <v>0</v>
      </c>
      <c r="E79" s="19">
        <v>0</v>
      </c>
      <c r="F79" s="27">
        <f t="shared" si="64"/>
        <v>0</v>
      </c>
      <c r="G79" s="28" t="s">
        <v>227</v>
      </c>
      <c r="H79" s="19">
        <v>0</v>
      </c>
      <c r="I79" s="27">
        <f t="shared" si="31"/>
        <v>0</v>
      </c>
      <c r="J79" s="28" t="s">
        <v>227</v>
      </c>
      <c r="K79" s="19">
        <v>0</v>
      </c>
      <c r="L79" s="27">
        <f t="shared" si="68"/>
        <v>0</v>
      </c>
      <c r="M79" s="28" t="s">
        <v>227</v>
      </c>
      <c r="N79" s="19">
        <v>0</v>
      </c>
      <c r="O79" s="27">
        <f t="shared" si="71"/>
        <v>0</v>
      </c>
      <c r="P79" s="28" t="s">
        <v>227</v>
      </c>
    </row>
    <row r="80" spans="2:16" ht="15" thickBot="1">
      <c r="B80" s="9" t="s">
        <v>13</v>
      </c>
      <c r="C80" s="18" t="s">
        <v>174</v>
      </c>
      <c r="D80" s="19">
        <v>0</v>
      </c>
      <c r="E80" s="19">
        <v>0</v>
      </c>
      <c r="F80" s="27">
        <f t="shared" si="64"/>
        <v>0</v>
      </c>
      <c r="G80" s="28" t="s">
        <v>227</v>
      </c>
      <c r="H80" s="19">
        <v>0</v>
      </c>
      <c r="I80" s="27">
        <f t="shared" si="31"/>
        <v>0</v>
      </c>
      <c r="J80" s="28" t="s">
        <v>227</v>
      </c>
      <c r="K80" s="19">
        <v>0</v>
      </c>
      <c r="L80" s="27">
        <f t="shared" si="68"/>
        <v>0</v>
      </c>
      <c r="M80" s="28" t="s">
        <v>227</v>
      </c>
      <c r="N80" s="19">
        <v>0</v>
      </c>
      <c r="O80" s="27">
        <f t="shared" si="71"/>
        <v>0</v>
      </c>
      <c r="P80" s="28" t="s">
        <v>227</v>
      </c>
    </row>
    <row r="81" spans="2:16" ht="15" thickBot="1">
      <c r="B81" s="9" t="s">
        <v>7</v>
      </c>
      <c r="C81" s="24" t="s">
        <v>175</v>
      </c>
      <c r="D81" s="20">
        <f>SUM(D82:D85)</f>
        <v>0</v>
      </c>
      <c r="E81" s="20">
        <f t="shared" ref="E81" si="82">SUM(E82:E85)</f>
        <v>0</v>
      </c>
      <c r="F81" s="27">
        <f t="shared" si="64"/>
        <v>0</v>
      </c>
      <c r="G81" s="28" t="s">
        <v>227</v>
      </c>
      <c r="H81" s="20">
        <f t="shared" ref="H81" si="83">SUM(H82:H85)</f>
        <v>0</v>
      </c>
      <c r="I81" s="27">
        <f t="shared" si="31"/>
        <v>0</v>
      </c>
      <c r="J81" s="28" t="s">
        <v>227</v>
      </c>
      <c r="K81" s="20">
        <f t="shared" ref="K81" si="84">SUM(K82:K85)</f>
        <v>0</v>
      </c>
      <c r="L81" s="27">
        <f t="shared" si="68"/>
        <v>0</v>
      </c>
      <c r="M81" s="28" t="s">
        <v>227</v>
      </c>
      <c r="N81" s="20">
        <f t="shared" ref="N81" si="85">SUM(N82:N85)</f>
        <v>0</v>
      </c>
      <c r="O81" s="27">
        <f t="shared" si="71"/>
        <v>0</v>
      </c>
      <c r="P81" s="28" t="s">
        <v>227</v>
      </c>
    </row>
    <row r="82" spans="2:16" ht="15" thickBot="1">
      <c r="B82" s="9" t="s">
        <v>9</v>
      </c>
      <c r="C82" s="18" t="s">
        <v>176</v>
      </c>
      <c r="D82" s="19">
        <v>0</v>
      </c>
      <c r="E82" s="19">
        <v>0</v>
      </c>
      <c r="F82" s="27">
        <f t="shared" si="64"/>
        <v>0</v>
      </c>
      <c r="G82" s="28" t="s">
        <v>227</v>
      </c>
      <c r="H82" s="19">
        <v>0</v>
      </c>
      <c r="I82" s="27">
        <f t="shared" si="31"/>
        <v>0</v>
      </c>
      <c r="J82" s="28" t="s">
        <v>227</v>
      </c>
      <c r="K82" s="19">
        <v>0</v>
      </c>
      <c r="L82" s="27">
        <f t="shared" si="68"/>
        <v>0</v>
      </c>
      <c r="M82" s="28" t="s">
        <v>227</v>
      </c>
      <c r="N82" s="19">
        <v>0</v>
      </c>
      <c r="O82" s="27">
        <f t="shared" si="71"/>
        <v>0</v>
      </c>
      <c r="P82" s="28" t="s">
        <v>227</v>
      </c>
    </row>
    <row r="83" spans="2:16" ht="15" thickBot="1">
      <c r="B83" s="9" t="s">
        <v>11</v>
      </c>
      <c r="C83" s="18" t="s">
        <v>177</v>
      </c>
      <c r="D83" s="19">
        <v>0</v>
      </c>
      <c r="E83" s="19">
        <v>0</v>
      </c>
      <c r="F83" s="27">
        <f t="shared" si="64"/>
        <v>0</v>
      </c>
      <c r="G83" s="28" t="s">
        <v>227</v>
      </c>
      <c r="H83" s="19">
        <v>0</v>
      </c>
      <c r="I83" s="27">
        <f t="shared" si="31"/>
        <v>0</v>
      </c>
      <c r="J83" s="28" t="s">
        <v>227</v>
      </c>
      <c r="K83" s="19">
        <v>0</v>
      </c>
      <c r="L83" s="27">
        <f t="shared" si="68"/>
        <v>0</v>
      </c>
      <c r="M83" s="28" t="s">
        <v>227</v>
      </c>
      <c r="N83" s="19">
        <v>0</v>
      </c>
      <c r="O83" s="27">
        <f t="shared" si="71"/>
        <v>0</v>
      </c>
      <c r="P83" s="28" t="s">
        <v>227</v>
      </c>
    </row>
    <row r="84" spans="2:16" ht="15" thickBot="1">
      <c r="B84" s="9" t="s">
        <v>13</v>
      </c>
      <c r="C84" s="18" t="s">
        <v>178</v>
      </c>
      <c r="D84" s="19">
        <v>0</v>
      </c>
      <c r="E84" s="19">
        <v>0</v>
      </c>
      <c r="F84" s="27">
        <f t="shared" si="64"/>
        <v>0</v>
      </c>
      <c r="G84" s="28" t="s">
        <v>227</v>
      </c>
      <c r="H84" s="19">
        <v>0</v>
      </c>
      <c r="I84" s="27">
        <f t="shared" si="31"/>
        <v>0</v>
      </c>
      <c r="J84" s="28" t="s">
        <v>227</v>
      </c>
      <c r="K84" s="19">
        <v>0</v>
      </c>
      <c r="L84" s="27">
        <f t="shared" si="68"/>
        <v>0</v>
      </c>
      <c r="M84" s="28" t="s">
        <v>227</v>
      </c>
      <c r="N84" s="19">
        <v>0</v>
      </c>
      <c r="O84" s="27">
        <f t="shared" si="71"/>
        <v>0</v>
      </c>
      <c r="P84" s="28" t="s">
        <v>227</v>
      </c>
    </row>
    <row r="85" spans="2:16" ht="15" thickBot="1">
      <c r="B85" s="9" t="s">
        <v>25</v>
      </c>
      <c r="C85" s="18" t="s">
        <v>179</v>
      </c>
      <c r="D85" s="19">
        <v>0</v>
      </c>
      <c r="E85" s="19">
        <v>0</v>
      </c>
      <c r="F85" s="27">
        <f t="shared" si="64"/>
        <v>0</v>
      </c>
      <c r="G85" s="28" t="s">
        <v>227</v>
      </c>
      <c r="H85" s="19">
        <v>0</v>
      </c>
      <c r="I85" s="27">
        <f t="shared" si="31"/>
        <v>0</v>
      </c>
      <c r="J85" s="28" t="s">
        <v>227</v>
      </c>
      <c r="K85" s="19">
        <v>0</v>
      </c>
      <c r="L85" s="27">
        <f t="shared" si="68"/>
        <v>0</v>
      </c>
      <c r="M85" s="28" t="s">
        <v>227</v>
      </c>
      <c r="N85" s="19">
        <v>0</v>
      </c>
      <c r="O85" s="27">
        <f t="shared" si="71"/>
        <v>0</v>
      </c>
      <c r="P85" s="28" t="s">
        <v>227</v>
      </c>
    </row>
    <row r="86" spans="2:16" ht="15" thickBot="1">
      <c r="B86" s="9" t="s">
        <v>31</v>
      </c>
      <c r="C86" s="24" t="s">
        <v>180</v>
      </c>
      <c r="D86" s="20">
        <f>SUM(D87:D88)</f>
        <v>1196</v>
      </c>
      <c r="E86" s="20">
        <f t="shared" ref="E86" si="86">SUM(E87:E88)</f>
        <v>1191</v>
      </c>
      <c r="F86" s="27">
        <f t="shared" si="64"/>
        <v>-5</v>
      </c>
      <c r="G86" s="28">
        <f t="shared" si="65"/>
        <v>-0.41806020066889632</v>
      </c>
      <c r="H86" s="20">
        <f t="shared" ref="H86" si="87">SUM(H87:H88)</f>
        <v>1177</v>
      </c>
      <c r="I86" s="27">
        <f t="shared" si="31"/>
        <v>-14</v>
      </c>
      <c r="J86" s="28">
        <f t="shared" si="75"/>
        <v>-1.1754827875734677</v>
      </c>
      <c r="K86" s="20">
        <f t="shared" ref="K86" si="88">SUM(K87:K88)</f>
        <v>1186</v>
      </c>
      <c r="L86" s="27">
        <f t="shared" ref="L86:L111" si="89">K86-H86</f>
        <v>9</v>
      </c>
      <c r="M86" s="28">
        <f t="shared" si="69"/>
        <v>0.76465590484282076</v>
      </c>
      <c r="N86" s="20">
        <f t="shared" ref="N86" si="90">SUM(N87:N88)</f>
        <v>1218</v>
      </c>
      <c r="O86" s="27">
        <f t="shared" si="71"/>
        <v>32</v>
      </c>
      <c r="P86" s="29">
        <f t="shared" si="72"/>
        <v>2.6981450252951094</v>
      </c>
    </row>
    <row r="87" spans="2:16" ht="15" thickBot="1">
      <c r="B87" s="9" t="s">
        <v>9</v>
      </c>
      <c r="C87" s="18" t="s">
        <v>181</v>
      </c>
      <c r="D87" s="19">
        <v>1035</v>
      </c>
      <c r="E87" s="19">
        <v>1035</v>
      </c>
      <c r="F87" s="27">
        <f t="shared" si="64"/>
        <v>0</v>
      </c>
      <c r="G87" s="28">
        <f t="shared" si="65"/>
        <v>0</v>
      </c>
      <c r="H87" s="19">
        <v>1035</v>
      </c>
      <c r="I87" s="27">
        <f t="shared" si="31"/>
        <v>0</v>
      </c>
      <c r="J87" s="28">
        <f t="shared" si="75"/>
        <v>0</v>
      </c>
      <c r="K87" s="19">
        <v>1035</v>
      </c>
      <c r="L87" s="27">
        <f t="shared" si="89"/>
        <v>0</v>
      </c>
      <c r="M87" s="28">
        <f t="shared" si="69"/>
        <v>0</v>
      </c>
      <c r="N87" s="19">
        <v>1035</v>
      </c>
      <c r="O87" s="27">
        <f t="shared" si="71"/>
        <v>0</v>
      </c>
      <c r="P87" s="29">
        <f t="shared" si="72"/>
        <v>0</v>
      </c>
    </row>
    <row r="88" spans="2:16" ht="15" thickBot="1">
      <c r="B88" s="9" t="s">
        <v>11</v>
      </c>
      <c r="C88" s="18" t="s">
        <v>182</v>
      </c>
      <c r="D88" s="19">
        <v>161</v>
      </c>
      <c r="E88" s="19">
        <v>156</v>
      </c>
      <c r="F88" s="27">
        <f t="shared" si="64"/>
        <v>-5</v>
      </c>
      <c r="G88" s="28">
        <f t="shared" si="65"/>
        <v>-3.1055900621118013</v>
      </c>
      <c r="H88" s="19">
        <v>142</v>
      </c>
      <c r="I88" s="27">
        <f t="shared" si="31"/>
        <v>-14</v>
      </c>
      <c r="J88" s="28">
        <f t="shared" si="75"/>
        <v>-8.9743589743589745</v>
      </c>
      <c r="K88" s="19">
        <v>151</v>
      </c>
      <c r="L88" s="27">
        <f t="shared" si="89"/>
        <v>9</v>
      </c>
      <c r="M88" s="28">
        <f t="shared" si="69"/>
        <v>6.3380281690140841</v>
      </c>
      <c r="N88" s="19">
        <v>183</v>
      </c>
      <c r="O88" s="27">
        <f t="shared" si="71"/>
        <v>32</v>
      </c>
      <c r="P88" s="29">
        <f t="shared" si="72"/>
        <v>21.192052980132452</v>
      </c>
    </row>
    <row r="89" spans="2:16" ht="15" thickBot="1">
      <c r="B89" s="9" t="s">
        <v>41</v>
      </c>
      <c r="C89" s="24" t="s">
        <v>183</v>
      </c>
      <c r="D89" s="23">
        <f>SUM(D90:D91)</f>
        <v>55356</v>
      </c>
      <c r="E89" s="23">
        <f t="shared" ref="E89" si="91">SUM(E90:E91)</f>
        <v>81162</v>
      </c>
      <c r="F89" s="27">
        <f t="shared" si="64"/>
        <v>25806</v>
      </c>
      <c r="G89" s="28">
        <f t="shared" si="65"/>
        <v>46.618252763928034</v>
      </c>
      <c r="H89" s="23">
        <f t="shared" ref="H89" si="92">SUM(H90:H91)</f>
        <v>101263</v>
      </c>
      <c r="I89" s="27">
        <f t="shared" si="31"/>
        <v>20101</v>
      </c>
      <c r="J89" s="28">
        <f t="shared" si="75"/>
        <v>24.766516350016019</v>
      </c>
      <c r="K89" s="23">
        <f t="shared" ref="K89" si="93">SUM(K90:K91)</f>
        <v>113984</v>
      </c>
      <c r="L89" s="27">
        <f t="shared" si="89"/>
        <v>12721</v>
      </c>
      <c r="M89" s="28">
        <f t="shared" si="69"/>
        <v>12.562337675162697</v>
      </c>
      <c r="N89" s="23">
        <f t="shared" ref="N89" si="94">SUM(N90:N91)</f>
        <v>130321</v>
      </c>
      <c r="O89" s="27">
        <f>N89-K89</f>
        <v>16337</v>
      </c>
      <c r="P89" s="29">
        <f t="shared" si="72"/>
        <v>14.332713363279057</v>
      </c>
    </row>
    <row r="90" spans="2:16" ht="15" thickBot="1">
      <c r="B90" s="9" t="s">
        <v>9</v>
      </c>
      <c r="C90" s="18" t="s">
        <v>184</v>
      </c>
      <c r="D90" s="19">
        <v>55356</v>
      </c>
      <c r="E90" s="19">
        <v>81162</v>
      </c>
      <c r="F90" s="27">
        <f t="shared" si="64"/>
        <v>25806</v>
      </c>
      <c r="G90" s="28">
        <f t="shared" si="65"/>
        <v>46.618252763928034</v>
      </c>
      <c r="H90" s="19">
        <v>101263</v>
      </c>
      <c r="I90" s="27">
        <f t="shared" si="31"/>
        <v>20101</v>
      </c>
      <c r="J90" s="28">
        <f>(H90-E90)/ABS(E90)*100</f>
        <v>24.766516350016019</v>
      </c>
      <c r="K90" s="19">
        <v>113984</v>
      </c>
      <c r="L90" s="27">
        <f t="shared" si="89"/>
        <v>12721</v>
      </c>
      <c r="M90" s="28">
        <f t="shared" si="69"/>
        <v>12.562337675162697</v>
      </c>
      <c r="N90" s="19">
        <v>130321</v>
      </c>
      <c r="O90" s="27">
        <f t="shared" ref="O90:O105" si="95">N90-K90</f>
        <v>16337</v>
      </c>
      <c r="P90" s="29">
        <f t="shared" si="72"/>
        <v>14.332713363279057</v>
      </c>
    </row>
    <row r="91" spans="2:16" ht="15" thickBot="1">
      <c r="B91" s="9" t="s">
        <v>11</v>
      </c>
      <c r="C91" s="18" t="s">
        <v>185</v>
      </c>
      <c r="D91" s="22">
        <v>0</v>
      </c>
      <c r="E91" s="22">
        <v>0</v>
      </c>
      <c r="F91" s="27">
        <f t="shared" si="64"/>
        <v>0</v>
      </c>
      <c r="G91" s="28" t="s">
        <v>227</v>
      </c>
      <c r="H91" s="22">
        <v>0</v>
      </c>
      <c r="I91" s="27">
        <f t="shared" si="31"/>
        <v>0</v>
      </c>
      <c r="J91" s="28" t="s">
        <v>227</v>
      </c>
      <c r="K91" s="22">
        <v>0</v>
      </c>
      <c r="L91" s="27">
        <f t="shared" si="89"/>
        <v>0</v>
      </c>
      <c r="M91" s="28" t="s">
        <v>227</v>
      </c>
      <c r="N91" s="22">
        <v>0</v>
      </c>
      <c r="O91" s="27">
        <f t="shared" si="95"/>
        <v>0</v>
      </c>
      <c r="P91" s="28" t="s">
        <v>227</v>
      </c>
    </row>
    <row r="92" spans="2:16" ht="15" thickBot="1">
      <c r="B92" s="9" t="s">
        <v>45</v>
      </c>
      <c r="C92" s="24" t="s">
        <v>186</v>
      </c>
      <c r="D92" s="23">
        <v>26706.395000000004</v>
      </c>
      <c r="E92" s="23">
        <v>24700.505000000005</v>
      </c>
      <c r="F92" s="27">
        <f t="shared" si="64"/>
        <v>-2005.8899999999994</v>
      </c>
      <c r="G92" s="28">
        <f t="shared" si="65"/>
        <v>-7.5108976707638719</v>
      </c>
      <c r="H92" s="23">
        <v>20331.857000000004</v>
      </c>
      <c r="I92" s="27">
        <f t="shared" si="31"/>
        <v>-4368.648000000001</v>
      </c>
      <c r="J92" s="28">
        <f t="shared" si="75"/>
        <v>-17.686472402082469</v>
      </c>
      <c r="K92" s="23">
        <v>27043.835999999996</v>
      </c>
      <c r="L92" s="27">
        <f t="shared" si="89"/>
        <v>6711.9789999999921</v>
      </c>
      <c r="M92" s="28">
        <f t="shared" si="69"/>
        <v>33.012129683973242</v>
      </c>
      <c r="N92" s="23">
        <v>19483.725000000006</v>
      </c>
      <c r="O92" s="27">
        <f t="shared" si="95"/>
        <v>-7560.1109999999899</v>
      </c>
      <c r="P92" s="29">
        <f t="shared" si="72"/>
        <v>-27.955024575655578</v>
      </c>
    </row>
    <row r="93" spans="2:16" ht="15" thickBot="1">
      <c r="B93" s="15" t="s">
        <v>15</v>
      </c>
      <c r="C93" s="21" t="s">
        <v>187</v>
      </c>
      <c r="D93" s="23">
        <f>D94+D99+D110+D122</f>
        <v>56077</v>
      </c>
      <c r="E93" s="23">
        <f t="shared" ref="E93" si="96">E94+E99+E110+E122</f>
        <v>73764</v>
      </c>
      <c r="F93" s="27">
        <f t="shared" si="64"/>
        <v>17687</v>
      </c>
      <c r="G93" s="28">
        <f t="shared" si="65"/>
        <v>31.540560301014676</v>
      </c>
      <c r="H93" s="23">
        <f t="shared" ref="H93" si="97">H94+H99+H110+H122</f>
        <v>76689</v>
      </c>
      <c r="I93" s="27">
        <f t="shared" si="31"/>
        <v>2925</v>
      </c>
      <c r="J93" s="28">
        <f t="shared" si="75"/>
        <v>3.9653489507076625</v>
      </c>
      <c r="K93" s="23">
        <f t="shared" ref="K93" si="98">K94+K99+K110+K122</f>
        <v>65287</v>
      </c>
      <c r="L93" s="27">
        <f t="shared" si="89"/>
        <v>-11402</v>
      </c>
      <c r="M93" s="28">
        <f t="shared" si="69"/>
        <v>-14.867842845779707</v>
      </c>
      <c r="N93" s="23">
        <f t="shared" ref="N93" si="99">N94+N99+N110+N122</f>
        <v>78557</v>
      </c>
      <c r="O93" s="27">
        <f t="shared" si="95"/>
        <v>13270</v>
      </c>
      <c r="P93" s="29">
        <f t="shared" si="72"/>
        <v>20.325639101199318</v>
      </c>
    </row>
    <row r="94" spans="2:16" ht="15" thickBot="1">
      <c r="B94" s="9" t="s">
        <v>1</v>
      </c>
      <c r="C94" s="24" t="s">
        <v>188</v>
      </c>
      <c r="D94" s="20">
        <f>SUM(D95:D98)</f>
        <v>1455</v>
      </c>
      <c r="E94" s="20">
        <f t="shared" ref="E94" si="100">SUM(E95:E98)</f>
        <v>1112</v>
      </c>
      <c r="F94" s="27">
        <f t="shared" si="64"/>
        <v>-343</v>
      </c>
      <c r="G94" s="28">
        <f t="shared" si="65"/>
        <v>-23.573883161512025</v>
      </c>
      <c r="H94" s="20">
        <f t="shared" ref="H94" si="101">SUM(H95:H98)</f>
        <v>985</v>
      </c>
      <c r="I94" s="27">
        <f t="shared" si="31"/>
        <v>-127</v>
      </c>
      <c r="J94" s="28">
        <f t="shared" si="75"/>
        <v>-11.420863309352518</v>
      </c>
      <c r="K94" s="20">
        <f t="shared" ref="K94" si="102">SUM(K95:K98)</f>
        <v>845</v>
      </c>
      <c r="L94" s="27">
        <f t="shared" si="89"/>
        <v>-140</v>
      </c>
      <c r="M94" s="28">
        <f t="shared" si="69"/>
        <v>-14.213197969543149</v>
      </c>
      <c r="N94" s="20">
        <f t="shared" ref="N94" si="103">SUM(N95:N98)</f>
        <v>716</v>
      </c>
      <c r="O94" s="27">
        <f t="shared" si="95"/>
        <v>-129</v>
      </c>
      <c r="P94" s="29">
        <f t="shared" si="72"/>
        <v>-15.266272189349111</v>
      </c>
    </row>
    <row r="95" spans="2:16" ht="15" thickBot="1">
      <c r="B95" s="9" t="s">
        <v>9</v>
      </c>
      <c r="C95" s="18" t="s">
        <v>189</v>
      </c>
      <c r="D95" s="19">
        <v>1455</v>
      </c>
      <c r="E95" s="19">
        <v>1112</v>
      </c>
      <c r="F95" s="27">
        <f t="shared" si="64"/>
        <v>-343</v>
      </c>
      <c r="G95" s="28">
        <f t="shared" si="65"/>
        <v>-23.573883161512025</v>
      </c>
      <c r="H95" s="19">
        <v>985</v>
      </c>
      <c r="I95" s="27">
        <f t="shared" si="31"/>
        <v>-127</v>
      </c>
      <c r="J95" s="28">
        <f t="shared" si="75"/>
        <v>-11.420863309352518</v>
      </c>
      <c r="K95" s="19">
        <v>845</v>
      </c>
      <c r="L95" s="27">
        <f t="shared" si="89"/>
        <v>-140</v>
      </c>
      <c r="M95" s="28">
        <f t="shared" si="69"/>
        <v>-14.213197969543149</v>
      </c>
      <c r="N95" s="19">
        <v>716</v>
      </c>
      <c r="O95" s="27">
        <f t="shared" si="95"/>
        <v>-129</v>
      </c>
      <c r="P95" s="29">
        <f t="shared" si="72"/>
        <v>-15.266272189349111</v>
      </c>
    </row>
    <row r="96" spans="2:16" ht="15" thickBot="1">
      <c r="B96" s="9" t="s">
        <v>11</v>
      </c>
      <c r="C96" s="18" t="s">
        <v>190</v>
      </c>
      <c r="D96" s="19">
        <v>0</v>
      </c>
      <c r="E96" s="19">
        <v>0</v>
      </c>
      <c r="F96" s="27">
        <f t="shared" si="64"/>
        <v>0</v>
      </c>
      <c r="G96" s="28" t="s">
        <v>227</v>
      </c>
      <c r="H96" s="19">
        <v>0</v>
      </c>
      <c r="I96" s="27">
        <f t="shared" si="31"/>
        <v>0</v>
      </c>
      <c r="J96" s="28" t="s">
        <v>227</v>
      </c>
      <c r="K96" s="19">
        <v>0</v>
      </c>
      <c r="L96" s="27">
        <f t="shared" si="89"/>
        <v>0</v>
      </c>
      <c r="M96" s="28" t="s">
        <v>227</v>
      </c>
      <c r="N96" s="19">
        <v>0</v>
      </c>
      <c r="O96" s="27">
        <f t="shared" si="95"/>
        <v>0</v>
      </c>
      <c r="P96" s="28" t="s">
        <v>227</v>
      </c>
    </row>
    <row r="97" spans="2:16" ht="15" thickBot="1">
      <c r="B97" s="9" t="s">
        <v>13</v>
      </c>
      <c r="C97" s="18" t="s">
        <v>191</v>
      </c>
      <c r="D97" s="19">
        <v>0</v>
      </c>
      <c r="E97" s="19">
        <v>0</v>
      </c>
      <c r="F97" s="27">
        <f t="shared" si="64"/>
        <v>0</v>
      </c>
      <c r="G97" s="28" t="s">
        <v>227</v>
      </c>
      <c r="H97" s="19">
        <v>0</v>
      </c>
      <c r="I97" s="27">
        <f t="shared" si="31"/>
        <v>0</v>
      </c>
      <c r="J97" s="28" t="s">
        <v>227</v>
      </c>
      <c r="K97" s="19">
        <v>0</v>
      </c>
      <c r="L97" s="27">
        <f t="shared" si="89"/>
        <v>0</v>
      </c>
      <c r="M97" s="28" t="s">
        <v>227</v>
      </c>
      <c r="N97" s="19">
        <v>0</v>
      </c>
      <c r="O97" s="27">
        <f t="shared" si="95"/>
        <v>0</v>
      </c>
      <c r="P97" s="28" t="s">
        <v>227</v>
      </c>
    </row>
    <row r="98" spans="2:16" ht="15" thickBot="1">
      <c r="B98" s="9" t="s">
        <v>25</v>
      </c>
      <c r="C98" s="18" t="s">
        <v>192</v>
      </c>
      <c r="D98" s="19">
        <v>0</v>
      </c>
      <c r="E98" s="19">
        <v>0</v>
      </c>
      <c r="F98" s="27">
        <f t="shared" si="64"/>
        <v>0</v>
      </c>
      <c r="G98" s="28" t="s">
        <v>227</v>
      </c>
      <c r="H98" s="19">
        <v>0</v>
      </c>
      <c r="I98" s="27">
        <f t="shared" ref="I98:I128" si="104">H98-E98</f>
        <v>0</v>
      </c>
      <c r="J98" s="28" t="s">
        <v>227</v>
      </c>
      <c r="K98" s="19">
        <v>0</v>
      </c>
      <c r="L98" s="27">
        <f t="shared" si="89"/>
        <v>0</v>
      </c>
      <c r="M98" s="28" t="s">
        <v>227</v>
      </c>
      <c r="N98" s="19">
        <v>0</v>
      </c>
      <c r="O98" s="27">
        <f t="shared" si="95"/>
        <v>0</v>
      </c>
      <c r="P98" s="28" t="s">
        <v>227</v>
      </c>
    </row>
    <row r="99" spans="2:16" ht="15" thickBot="1">
      <c r="B99" s="9" t="s">
        <v>7</v>
      </c>
      <c r="C99" s="24" t="s">
        <v>193</v>
      </c>
      <c r="D99" s="23">
        <f>SUM(D100:D109)</f>
        <v>3235</v>
      </c>
      <c r="E99" s="23">
        <f t="shared" ref="E99" si="105">SUM(E100:E109)</f>
        <v>4428</v>
      </c>
      <c r="F99" s="27">
        <f>E99-D99</f>
        <v>1193</v>
      </c>
      <c r="G99" s="28">
        <f t="shared" si="65"/>
        <v>36.877897990726424</v>
      </c>
      <c r="H99" s="23">
        <f t="shared" ref="H99" si="106">SUM(H100:H109)</f>
        <v>4949</v>
      </c>
      <c r="I99" s="27">
        <f t="shared" si="104"/>
        <v>521</v>
      </c>
      <c r="J99" s="28">
        <f t="shared" si="75"/>
        <v>11.766034327009937</v>
      </c>
      <c r="K99" s="23">
        <f t="shared" ref="K99" si="107">SUM(K100:K109)</f>
        <v>5739</v>
      </c>
      <c r="L99" s="27">
        <f t="shared" si="89"/>
        <v>790</v>
      </c>
      <c r="M99" s="28">
        <f t="shared" si="69"/>
        <v>15.962820771873107</v>
      </c>
      <c r="N99" s="23">
        <f t="shared" ref="N99" si="108">SUM(N100:N109)</f>
        <v>6574</v>
      </c>
      <c r="O99" s="27">
        <f t="shared" si="95"/>
        <v>835</v>
      </c>
      <c r="P99" s="29">
        <f t="shared" si="72"/>
        <v>14.549573096358252</v>
      </c>
    </row>
    <row r="100" spans="2:16" ht="15" thickBot="1">
      <c r="B100" s="9" t="s">
        <v>9</v>
      </c>
      <c r="C100" s="18" t="s">
        <v>194</v>
      </c>
      <c r="D100" s="22">
        <v>0</v>
      </c>
      <c r="E100" s="22">
        <v>0</v>
      </c>
      <c r="F100" s="27">
        <f t="shared" si="64"/>
        <v>0</v>
      </c>
      <c r="G100" s="28" t="s">
        <v>227</v>
      </c>
      <c r="H100" s="22">
        <v>0</v>
      </c>
      <c r="I100" s="27">
        <f t="shared" si="104"/>
        <v>0</v>
      </c>
      <c r="J100" s="28" t="s">
        <v>227</v>
      </c>
      <c r="K100" s="22">
        <v>0</v>
      </c>
      <c r="L100" s="27">
        <f t="shared" si="89"/>
        <v>0</v>
      </c>
      <c r="M100" s="28" t="s">
        <v>227</v>
      </c>
      <c r="N100" s="22">
        <v>0</v>
      </c>
      <c r="O100" s="27">
        <f t="shared" si="95"/>
        <v>0</v>
      </c>
      <c r="P100" s="28" t="s">
        <v>227</v>
      </c>
    </row>
    <row r="101" spans="2:16" ht="15" thickBot="1">
      <c r="B101" s="9" t="s">
        <v>11</v>
      </c>
      <c r="C101" s="18" t="s">
        <v>195</v>
      </c>
      <c r="D101" s="19">
        <v>0</v>
      </c>
      <c r="E101" s="19">
        <v>0</v>
      </c>
      <c r="F101" s="27">
        <f t="shared" si="64"/>
        <v>0</v>
      </c>
      <c r="G101" s="28" t="s">
        <v>227</v>
      </c>
      <c r="H101" s="19">
        <v>0</v>
      </c>
      <c r="I101" s="27">
        <f t="shared" si="104"/>
        <v>0</v>
      </c>
      <c r="J101" s="28" t="s">
        <v>227</v>
      </c>
      <c r="K101" s="19">
        <v>0</v>
      </c>
      <c r="L101" s="27">
        <f t="shared" si="89"/>
        <v>0</v>
      </c>
      <c r="M101" s="28" t="s">
        <v>227</v>
      </c>
      <c r="N101" s="19">
        <v>0</v>
      </c>
      <c r="O101" s="27">
        <f t="shared" si="95"/>
        <v>0</v>
      </c>
      <c r="P101" s="28" t="s">
        <v>227</v>
      </c>
    </row>
    <row r="102" spans="2:16" ht="15" thickBot="1">
      <c r="B102" s="9" t="s">
        <v>13</v>
      </c>
      <c r="C102" s="18" t="s">
        <v>196</v>
      </c>
      <c r="D102" s="19">
        <v>0</v>
      </c>
      <c r="E102" s="19">
        <v>0</v>
      </c>
      <c r="F102" s="27">
        <f t="shared" si="64"/>
        <v>0</v>
      </c>
      <c r="G102" s="28" t="s">
        <v>227</v>
      </c>
      <c r="H102" s="19">
        <v>0</v>
      </c>
      <c r="I102" s="27">
        <f t="shared" si="104"/>
        <v>0</v>
      </c>
      <c r="J102" s="28" t="s">
        <v>227</v>
      </c>
      <c r="K102" s="19">
        <v>0</v>
      </c>
      <c r="L102" s="27">
        <f t="shared" si="89"/>
        <v>0</v>
      </c>
      <c r="M102" s="28" t="s">
        <v>227</v>
      </c>
      <c r="N102" s="19">
        <v>0</v>
      </c>
      <c r="O102" s="27">
        <f t="shared" si="95"/>
        <v>0</v>
      </c>
      <c r="P102" s="28" t="s">
        <v>227</v>
      </c>
    </row>
    <row r="103" spans="2:16" ht="15" thickBot="1">
      <c r="B103" s="9" t="s">
        <v>25</v>
      </c>
      <c r="C103" s="18" t="s">
        <v>197</v>
      </c>
      <c r="D103" s="19">
        <v>0</v>
      </c>
      <c r="E103" s="19">
        <v>0</v>
      </c>
      <c r="F103" s="27">
        <f t="shared" si="64"/>
        <v>0</v>
      </c>
      <c r="G103" s="28" t="s">
        <v>227</v>
      </c>
      <c r="H103" s="19">
        <v>0</v>
      </c>
      <c r="I103" s="27">
        <f t="shared" si="104"/>
        <v>0</v>
      </c>
      <c r="J103" s="28" t="s">
        <v>227</v>
      </c>
      <c r="K103" s="19">
        <v>0</v>
      </c>
      <c r="L103" s="27">
        <f t="shared" si="89"/>
        <v>0</v>
      </c>
      <c r="M103" s="28" t="s">
        <v>227</v>
      </c>
      <c r="N103" s="19">
        <v>0</v>
      </c>
      <c r="O103" s="27">
        <f t="shared" si="95"/>
        <v>0</v>
      </c>
      <c r="P103" s="28" t="s">
        <v>227</v>
      </c>
    </row>
    <row r="104" spans="2:16" ht="15" thickBot="1">
      <c r="B104" s="9" t="s">
        <v>110</v>
      </c>
      <c r="C104" s="18" t="s">
        <v>198</v>
      </c>
      <c r="D104" s="19">
        <v>0</v>
      </c>
      <c r="E104" s="19">
        <v>0</v>
      </c>
      <c r="F104" s="27">
        <f t="shared" si="64"/>
        <v>0</v>
      </c>
      <c r="G104" s="28" t="s">
        <v>227</v>
      </c>
      <c r="H104" s="19">
        <v>0</v>
      </c>
      <c r="I104" s="27">
        <f t="shared" si="104"/>
        <v>0</v>
      </c>
      <c r="J104" s="28" t="s">
        <v>227</v>
      </c>
      <c r="K104" s="19">
        <v>0</v>
      </c>
      <c r="L104" s="27">
        <f t="shared" si="89"/>
        <v>0</v>
      </c>
      <c r="M104" s="28" t="s">
        <v>227</v>
      </c>
      <c r="N104" s="19">
        <v>0</v>
      </c>
      <c r="O104" s="27">
        <f t="shared" si="95"/>
        <v>0</v>
      </c>
      <c r="P104" s="28" t="s">
        <v>227</v>
      </c>
    </row>
    <row r="105" spans="2:16" ht="15" thickBot="1">
      <c r="B105" s="9" t="s">
        <v>112</v>
      </c>
      <c r="C105" s="18" t="s">
        <v>199</v>
      </c>
      <c r="D105" s="19">
        <v>0</v>
      </c>
      <c r="E105" s="19">
        <v>0</v>
      </c>
      <c r="F105" s="27">
        <f t="shared" si="64"/>
        <v>0</v>
      </c>
      <c r="G105" s="28" t="s">
        <v>227</v>
      </c>
      <c r="H105" s="19">
        <v>0</v>
      </c>
      <c r="I105" s="27">
        <f t="shared" si="104"/>
        <v>0</v>
      </c>
      <c r="J105" s="28" t="s">
        <v>227</v>
      </c>
      <c r="K105" s="19">
        <v>0</v>
      </c>
      <c r="L105" s="27">
        <f t="shared" si="89"/>
        <v>0</v>
      </c>
      <c r="M105" s="28" t="s">
        <v>227</v>
      </c>
      <c r="N105" s="19">
        <v>0</v>
      </c>
      <c r="O105" s="27">
        <f t="shared" si="95"/>
        <v>0</v>
      </c>
      <c r="P105" s="28" t="s">
        <v>227</v>
      </c>
    </row>
    <row r="106" spans="2:16" ht="15" thickBot="1">
      <c r="B106" s="9" t="s">
        <v>114</v>
      </c>
      <c r="C106" s="18" t="s">
        <v>200</v>
      </c>
      <c r="D106" s="19">
        <v>0</v>
      </c>
      <c r="E106" s="19">
        <v>0</v>
      </c>
      <c r="F106" s="27">
        <f t="shared" si="64"/>
        <v>0</v>
      </c>
      <c r="G106" s="28" t="s">
        <v>227</v>
      </c>
      <c r="H106" s="19">
        <v>0</v>
      </c>
      <c r="I106" s="27">
        <f t="shared" si="104"/>
        <v>0</v>
      </c>
      <c r="J106" s="28" t="s">
        <v>227</v>
      </c>
      <c r="K106" s="19">
        <v>0</v>
      </c>
      <c r="L106" s="27">
        <f t="shared" si="89"/>
        <v>0</v>
      </c>
      <c r="M106" s="28" t="s">
        <v>227</v>
      </c>
      <c r="N106" s="19">
        <v>0</v>
      </c>
      <c r="O106" s="27">
        <f>N106-K106</f>
        <v>0</v>
      </c>
      <c r="P106" s="28" t="s">
        <v>227</v>
      </c>
    </row>
    <row r="107" spans="2:16" ht="15" thickBot="1">
      <c r="B107" s="9" t="s">
        <v>116</v>
      </c>
      <c r="C107" s="18" t="s">
        <v>201</v>
      </c>
      <c r="D107" s="7">
        <v>0</v>
      </c>
      <c r="E107" s="7">
        <v>0</v>
      </c>
      <c r="F107" s="27">
        <f t="shared" si="64"/>
        <v>0</v>
      </c>
      <c r="G107" s="28" t="s">
        <v>227</v>
      </c>
      <c r="H107" s="7">
        <v>0</v>
      </c>
      <c r="I107" s="27">
        <f t="shared" si="104"/>
        <v>0</v>
      </c>
      <c r="J107" s="28" t="s">
        <v>227</v>
      </c>
      <c r="K107" s="7">
        <v>0</v>
      </c>
      <c r="L107" s="27">
        <f t="shared" si="89"/>
        <v>0</v>
      </c>
      <c r="M107" s="28" t="s">
        <v>227</v>
      </c>
      <c r="N107" s="7">
        <v>0</v>
      </c>
      <c r="O107" s="27">
        <f t="shared" ref="O107:O128" si="109">N107-K107</f>
        <v>0</v>
      </c>
      <c r="P107" s="28" t="s">
        <v>227</v>
      </c>
    </row>
    <row r="108" spans="2:16" ht="15" thickBot="1">
      <c r="B108" s="9" t="s">
        <v>127</v>
      </c>
      <c r="C108" s="18" t="s">
        <v>202</v>
      </c>
      <c r="D108" s="19">
        <v>0</v>
      </c>
      <c r="E108" s="19">
        <v>0</v>
      </c>
      <c r="F108" s="27">
        <f t="shared" si="64"/>
        <v>0</v>
      </c>
      <c r="G108" s="28" t="s">
        <v>227</v>
      </c>
      <c r="H108" s="19">
        <v>0</v>
      </c>
      <c r="I108" s="27">
        <f t="shared" si="104"/>
        <v>0</v>
      </c>
      <c r="J108" s="28" t="s">
        <v>227</v>
      </c>
      <c r="K108" s="19">
        <v>0</v>
      </c>
      <c r="L108" s="27">
        <f t="shared" si="89"/>
        <v>0</v>
      </c>
      <c r="M108" s="28" t="s">
        <v>227</v>
      </c>
      <c r="N108" s="19">
        <v>0</v>
      </c>
      <c r="O108" s="27">
        <f t="shared" si="109"/>
        <v>0</v>
      </c>
      <c r="P108" s="28" t="s">
        <v>227</v>
      </c>
    </row>
    <row r="109" spans="2:16" ht="15" thickBot="1">
      <c r="B109" s="9" t="s">
        <v>203</v>
      </c>
      <c r="C109" s="18" t="s">
        <v>204</v>
      </c>
      <c r="D109" s="19">
        <v>3235</v>
      </c>
      <c r="E109" s="19">
        <f>3235+1193</f>
        <v>4428</v>
      </c>
      <c r="F109" s="27">
        <f t="shared" si="64"/>
        <v>1193</v>
      </c>
      <c r="G109" s="28">
        <f t="shared" si="65"/>
        <v>36.877897990726424</v>
      </c>
      <c r="H109" s="19">
        <f>4428+521</f>
        <v>4949</v>
      </c>
      <c r="I109" s="27">
        <f t="shared" si="104"/>
        <v>521</v>
      </c>
      <c r="J109" s="28">
        <f t="shared" si="75"/>
        <v>11.766034327009937</v>
      </c>
      <c r="K109" s="19">
        <f>4949+790</f>
        <v>5739</v>
      </c>
      <c r="L109" s="27">
        <f t="shared" si="89"/>
        <v>790</v>
      </c>
      <c r="M109" s="28">
        <f t="shared" si="69"/>
        <v>15.962820771873107</v>
      </c>
      <c r="N109" s="19">
        <f>5739+835</f>
        <v>6574</v>
      </c>
      <c r="O109" s="27">
        <f t="shared" si="109"/>
        <v>835</v>
      </c>
      <c r="P109" s="29">
        <f t="shared" si="72"/>
        <v>14.549573096358252</v>
      </c>
    </row>
    <row r="110" spans="2:16" ht="15" thickBot="1">
      <c r="B110" s="9" t="s">
        <v>31</v>
      </c>
      <c r="C110" s="24" t="s">
        <v>205</v>
      </c>
      <c r="D110" s="23">
        <f>SUM(D111:D121)</f>
        <v>24827</v>
      </c>
      <c r="E110" s="23">
        <f t="shared" ref="E110" si="110">SUM(E111:E121)</f>
        <v>23242</v>
      </c>
      <c r="F110" s="27">
        <f t="shared" si="64"/>
        <v>-1585</v>
      </c>
      <c r="G110" s="28">
        <f t="shared" si="65"/>
        <v>-6.3841785153260568</v>
      </c>
      <c r="H110" s="23">
        <f t="shared" ref="H110" si="111">SUM(H111:H121)</f>
        <v>28193</v>
      </c>
      <c r="I110" s="27">
        <f t="shared" si="104"/>
        <v>4951</v>
      </c>
      <c r="J110" s="28">
        <f t="shared" si="75"/>
        <v>21.301953360296018</v>
      </c>
      <c r="K110" s="23">
        <f t="shared" ref="K110" si="112">SUM(K111:K121)</f>
        <v>29162</v>
      </c>
      <c r="L110" s="27">
        <f t="shared" si="89"/>
        <v>969</v>
      </c>
      <c r="M110" s="28">
        <f t="shared" si="69"/>
        <v>3.4370233745965311</v>
      </c>
      <c r="N110" s="23">
        <f t="shared" ref="N110" si="113">SUM(N111:N121)</f>
        <v>30189</v>
      </c>
      <c r="O110" s="27">
        <f t="shared" si="109"/>
        <v>1027</v>
      </c>
      <c r="P110" s="29">
        <f t="shared" si="72"/>
        <v>3.5217063301556819</v>
      </c>
    </row>
    <row r="111" spans="2:16" ht="15" thickBot="1">
      <c r="B111" s="9" t="s">
        <v>9</v>
      </c>
      <c r="C111" s="18" t="s">
        <v>194</v>
      </c>
      <c r="D111" s="22">
        <v>14233</v>
      </c>
      <c r="E111" s="22">
        <v>16328</v>
      </c>
      <c r="F111" s="27">
        <f t="shared" si="64"/>
        <v>2095</v>
      </c>
      <c r="G111" s="28">
        <f t="shared" si="65"/>
        <v>14.719314269655026</v>
      </c>
      <c r="H111" s="22">
        <v>17414</v>
      </c>
      <c r="I111" s="27">
        <f t="shared" si="104"/>
        <v>1086</v>
      </c>
      <c r="J111" s="28">
        <f t="shared" si="75"/>
        <v>6.6511513963743258</v>
      </c>
      <c r="K111" s="22">
        <v>15328</v>
      </c>
      <c r="L111" s="27">
        <f t="shared" si="89"/>
        <v>-2086</v>
      </c>
      <c r="M111" s="28">
        <f t="shared" si="69"/>
        <v>-11.978867577810956</v>
      </c>
      <c r="N111" s="22">
        <v>18245</v>
      </c>
      <c r="O111" s="27">
        <f t="shared" si="109"/>
        <v>2917</v>
      </c>
      <c r="P111" s="29">
        <f t="shared" si="72"/>
        <v>19.03053235908142</v>
      </c>
    </row>
    <row r="112" spans="2:16" ht="15" thickBot="1">
      <c r="B112" s="9" t="s">
        <v>11</v>
      </c>
      <c r="C112" s="18" t="s">
        <v>195</v>
      </c>
      <c r="D112" s="19">
        <v>0</v>
      </c>
      <c r="E112" s="19">
        <v>0</v>
      </c>
      <c r="F112" s="27">
        <f t="shared" si="64"/>
        <v>0</v>
      </c>
      <c r="G112" s="28" t="s">
        <v>227</v>
      </c>
      <c r="H112" s="19">
        <v>0</v>
      </c>
      <c r="I112" s="27">
        <f t="shared" si="104"/>
        <v>0</v>
      </c>
      <c r="J112" s="28" t="s">
        <v>227</v>
      </c>
      <c r="K112" s="19">
        <v>0</v>
      </c>
      <c r="L112" s="27">
        <f t="shared" ref="L112:L128" si="114">K112-H112</f>
        <v>0</v>
      </c>
      <c r="M112" s="28" t="s">
        <v>227</v>
      </c>
      <c r="N112" s="19">
        <v>0</v>
      </c>
      <c r="O112" s="27">
        <f t="shared" si="109"/>
        <v>0</v>
      </c>
      <c r="P112" s="28" t="s">
        <v>227</v>
      </c>
    </row>
    <row r="113" spans="2:16" ht="15" thickBot="1">
      <c r="B113" s="9" t="s">
        <v>13</v>
      </c>
      <c r="C113" s="18" t="s">
        <v>196</v>
      </c>
      <c r="D113" s="19">
        <v>0</v>
      </c>
      <c r="E113" s="19">
        <v>0</v>
      </c>
      <c r="F113" s="27">
        <f t="shared" si="64"/>
        <v>0</v>
      </c>
      <c r="G113" s="28" t="s">
        <v>227</v>
      </c>
      <c r="H113" s="19">
        <v>0</v>
      </c>
      <c r="I113" s="27">
        <f t="shared" si="104"/>
        <v>0</v>
      </c>
      <c r="J113" s="28" t="s">
        <v>227</v>
      </c>
      <c r="K113" s="19">
        <v>0</v>
      </c>
      <c r="L113" s="27">
        <f t="shared" si="114"/>
        <v>0</v>
      </c>
      <c r="M113" s="28" t="s">
        <v>227</v>
      </c>
      <c r="N113" s="19">
        <v>0</v>
      </c>
      <c r="O113" s="27">
        <f t="shared" si="109"/>
        <v>0</v>
      </c>
      <c r="P113" s="28" t="s">
        <v>227</v>
      </c>
    </row>
    <row r="114" spans="2:16" ht="15" thickBot="1">
      <c r="B114" s="9" t="s">
        <v>25</v>
      </c>
      <c r="C114" s="18" t="s">
        <v>197</v>
      </c>
      <c r="D114" s="19">
        <v>0</v>
      </c>
      <c r="E114" s="19">
        <v>0</v>
      </c>
      <c r="F114" s="27">
        <f t="shared" si="64"/>
        <v>0</v>
      </c>
      <c r="G114" s="28" t="s">
        <v>227</v>
      </c>
      <c r="H114" s="19">
        <v>0</v>
      </c>
      <c r="I114" s="27">
        <f t="shared" si="104"/>
        <v>0</v>
      </c>
      <c r="J114" s="28" t="s">
        <v>227</v>
      </c>
      <c r="K114" s="19">
        <v>0</v>
      </c>
      <c r="L114" s="27">
        <f t="shared" si="114"/>
        <v>0</v>
      </c>
      <c r="M114" s="28" t="s">
        <v>227</v>
      </c>
      <c r="N114" s="19">
        <v>0</v>
      </c>
      <c r="O114" s="27">
        <f t="shared" si="109"/>
        <v>0</v>
      </c>
      <c r="P114" s="28" t="s">
        <v>227</v>
      </c>
    </row>
    <row r="115" spans="2:16" ht="15" thickBot="1">
      <c r="B115" s="9" t="s">
        <v>110</v>
      </c>
      <c r="C115" s="18" t="s">
        <v>206</v>
      </c>
      <c r="D115" s="19">
        <v>2538</v>
      </c>
      <c r="E115" s="19">
        <v>2893</v>
      </c>
      <c r="F115" s="27">
        <f t="shared" si="64"/>
        <v>355</v>
      </c>
      <c r="G115" s="28">
        <f t="shared" si="65"/>
        <v>13.987391646966115</v>
      </c>
      <c r="H115" s="19">
        <v>3526</v>
      </c>
      <c r="I115" s="27">
        <f t="shared" si="104"/>
        <v>633</v>
      </c>
      <c r="J115" s="28">
        <f t="shared" si="75"/>
        <v>21.88040096785344</v>
      </c>
      <c r="K115" s="19">
        <v>3928</v>
      </c>
      <c r="L115" s="27">
        <f t="shared" si="114"/>
        <v>402</v>
      </c>
      <c r="M115" s="28">
        <f t="shared" si="69"/>
        <v>11.401020986954055</v>
      </c>
      <c r="N115" s="19">
        <v>4635</v>
      </c>
      <c r="O115" s="27">
        <f t="shared" si="109"/>
        <v>707</v>
      </c>
      <c r="P115" s="29">
        <f t="shared" si="72"/>
        <v>17.998981670061102</v>
      </c>
    </row>
    <row r="116" spans="2:16" ht="15" thickBot="1">
      <c r="B116" s="9" t="s">
        <v>112</v>
      </c>
      <c r="C116" s="18" t="s">
        <v>207</v>
      </c>
      <c r="D116" s="19">
        <v>1521</v>
      </c>
      <c r="E116" s="19">
        <v>1683</v>
      </c>
      <c r="F116" s="27">
        <f t="shared" si="64"/>
        <v>162</v>
      </c>
      <c r="G116" s="28">
        <f t="shared" si="65"/>
        <v>10.650887573964498</v>
      </c>
      <c r="H116" s="19">
        <v>2216</v>
      </c>
      <c r="I116" s="27">
        <f t="shared" si="104"/>
        <v>533</v>
      </c>
      <c r="J116" s="28">
        <f t="shared" si="75"/>
        <v>31.669637551990494</v>
      </c>
      <c r="K116" s="19">
        <v>2425</v>
      </c>
      <c r="L116" s="27">
        <f t="shared" si="114"/>
        <v>209</v>
      </c>
      <c r="M116" s="28">
        <f t="shared" si="69"/>
        <v>9.4314079422382662</v>
      </c>
      <c r="N116" s="19">
        <v>2632</v>
      </c>
      <c r="O116" s="27">
        <f t="shared" si="109"/>
        <v>207</v>
      </c>
      <c r="P116" s="29">
        <f t="shared" si="72"/>
        <v>8.536082474226804</v>
      </c>
    </row>
    <row r="117" spans="2:16" ht="15" thickBot="1">
      <c r="B117" s="9" t="s">
        <v>114</v>
      </c>
      <c r="C117" s="18" t="s">
        <v>208</v>
      </c>
      <c r="D117" s="19">
        <v>3825</v>
      </c>
      <c r="E117" s="19">
        <v>1035</v>
      </c>
      <c r="F117" s="27">
        <f t="shared" si="64"/>
        <v>-2790</v>
      </c>
      <c r="G117" s="28">
        <f t="shared" si="65"/>
        <v>-72.941176470588232</v>
      </c>
      <c r="H117" s="19">
        <v>2125</v>
      </c>
      <c r="I117" s="27">
        <f t="shared" si="104"/>
        <v>1090</v>
      </c>
      <c r="J117" s="28">
        <f>(H117-E117)/ABS(E117)*100</f>
        <v>105.31400966183575</v>
      </c>
      <c r="K117" s="19">
        <v>3262</v>
      </c>
      <c r="L117" s="27">
        <f t="shared" si="114"/>
        <v>1137</v>
      </c>
      <c r="M117" s="28">
        <f t="shared" si="69"/>
        <v>53.505882352941178</v>
      </c>
      <c r="N117" s="19">
        <v>2351</v>
      </c>
      <c r="O117" s="27">
        <f t="shared" si="109"/>
        <v>-911</v>
      </c>
      <c r="P117" s="29">
        <f t="shared" si="72"/>
        <v>-27.92765174739424</v>
      </c>
    </row>
    <row r="118" spans="2:16" ht="15" thickBot="1">
      <c r="B118" s="9" t="s">
        <v>116</v>
      </c>
      <c r="C118" s="18" t="s">
        <v>209</v>
      </c>
      <c r="D118" s="19">
        <v>165</v>
      </c>
      <c r="E118" s="19">
        <v>123</v>
      </c>
      <c r="F118" s="27">
        <f t="shared" si="64"/>
        <v>-42</v>
      </c>
      <c r="G118" s="28">
        <f t="shared" si="65"/>
        <v>-25.454545454545453</v>
      </c>
      <c r="H118" s="19">
        <v>1022</v>
      </c>
      <c r="I118" s="27">
        <f t="shared" si="104"/>
        <v>899</v>
      </c>
      <c r="J118" s="28">
        <f t="shared" si="75"/>
        <v>730.89430894308941</v>
      </c>
      <c r="K118" s="19">
        <v>3265</v>
      </c>
      <c r="L118" s="27">
        <f t="shared" si="114"/>
        <v>2243</v>
      </c>
      <c r="M118" s="28">
        <f t="shared" si="69"/>
        <v>219.4716242661448</v>
      </c>
      <c r="N118" s="19">
        <v>1126</v>
      </c>
      <c r="O118" s="27">
        <f t="shared" si="109"/>
        <v>-2139</v>
      </c>
      <c r="P118" s="29">
        <f t="shared" si="72"/>
        <v>-65.513016845329247</v>
      </c>
    </row>
    <row r="119" spans="2:16" ht="15" thickBot="1">
      <c r="B119" s="9" t="s">
        <v>127</v>
      </c>
      <c r="C119" s="18" t="s">
        <v>199</v>
      </c>
      <c r="D119" s="19">
        <v>0</v>
      </c>
      <c r="E119" s="19">
        <v>0</v>
      </c>
      <c r="F119" s="27">
        <f t="shared" si="64"/>
        <v>0</v>
      </c>
      <c r="G119" s="28" t="s">
        <v>227</v>
      </c>
      <c r="H119" s="19">
        <v>0</v>
      </c>
      <c r="I119" s="27">
        <f t="shared" si="104"/>
        <v>0</v>
      </c>
      <c r="J119" s="28" t="s">
        <v>227</v>
      </c>
      <c r="K119" s="19">
        <v>0</v>
      </c>
      <c r="L119" s="27">
        <f t="shared" si="114"/>
        <v>0</v>
      </c>
      <c r="M119" s="28" t="s">
        <v>227</v>
      </c>
      <c r="N119" s="19">
        <v>0</v>
      </c>
      <c r="O119" s="27">
        <f t="shared" si="109"/>
        <v>0</v>
      </c>
      <c r="P119" s="28" t="s">
        <v>227</v>
      </c>
    </row>
    <row r="120" spans="2:16" ht="15" thickBot="1">
      <c r="B120" s="9" t="s">
        <v>203</v>
      </c>
      <c r="C120" s="18" t="s">
        <v>201</v>
      </c>
      <c r="D120" s="19">
        <v>1125</v>
      </c>
      <c r="E120" s="19">
        <v>345</v>
      </c>
      <c r="F120" s="27">
        <f t="shared" si="64"/>
        <v>-780</v>
      </c>
      <c r="G120" s="28">
        <f t="shared" si="65"/>
        <v>-69.333333333333343</v>
      </c>
      <c r="H120" s="19">
        <v>1265</v>
      </c>
      <c r="I120" s="27">
        <f t="shared" si="104"/>
        <v>920</v>
      </c>
      <c r="J120" s="28">
        <f t="shared" si="75"/>
        <v>266.66666666666663</v>
      </c>
      <c r="K120" s="19">
        <v>526</v>
      </c>
      <c r="L120" s="27">
        <f t="shared" si="114"/>
        <v>-739</v>
      </c>
      <c r="M120" s="28">
        <f t="shared" si="69"/>
        <v>-58.418972332015805</v>
      </c>
      <c r="N120" s="19">
        <v>835</v>
      </c>
      <c r="O120" s="27">
        <f t="shared" si="109"/>
        <v>309</v>
      </c>
      <c r="P120" s="29">
        <f t="shared" si="72"/>
        <v>58.745247148288968</v>
      </c>
    </row>
    <row r="121" spans="2:16" ht="15" thickBot="1">
      <c r="B121" s="9" t="s">
        <v>210</v>
      </c>
      <c r="C121" s="18" t="s">
        <v>211</v>
      </c>
      <c r="D121" s="19">
        <v>1420</v>
      </c>
      <c r="E121" s="19">
        <v>835</v>
      </c>
      <c r="F121" s="27">
        <f t="shared" si="64"/>
        <v>-585</v>
      </c>
      <c r="G121" s="28">
        <f t="shared" si="65"/>
        <v>-41.197183098591552</v>
      </c>
      <c r="H121" s="19">
        <v>625</v>
      </c>
      <c r="I121" s="27">
        <f t="shared" si="104"/>
        <v>-210</v>
      </c>
      <c r="J121" s="28">
        <f t="shared" si="75"/>
        <v>-25.149700598802394</v>
      </c>
      <c r="K121" s="19">
        <v>428</v>
      </c>
      <c r="L121" s="27">
        <f t="shared" si="114"/>
        <v>-197</v>
      </c>
      <c r="M121" s="28">
        <f t="shared" si="69"/>
        <v>-31.52</v>
      </c>
      <c r="N121" s="19">
        <v>365</v>
      </c>
      <c r="O121" s="27">
        <f t="shared" si="109"/>
        <v>-63</v>
      </c>
      <c r="P121" s="29">
        <f t="shared" si="72"/>
        <v>-14.719626168224298</v>
      </c>
    </row>
    <row r="122" spans="2:16" ht="15" thickBot="1">
      <c r="B122" s="9" t="s">
        <v>41</v>
      </c>
      <c r="C122" s="24" t="s">
        <v>212</v>
      </c>
      <c r="D122" s="23">
        <f>SUM(D123:D125)</f>
        <v>26560</v>
      </c>
      <c r="E122" s="23">
        <f t="shared" ref="E122" si="115">SUM(E123:E125)</f>
        <v>44982</v>
      </c>
      <c r="F122" s="27">
        <f t="shared" si="64"/>
        <v>18422</v>
      </c>
      <c r="G122" s="28">
        <f t="shared" si="65"/>
        <v>69.359939759036152</v>
      </c>
      <c r="H122" s="23">
        <f t="shared" ref="H122" si="116">SUM(H123:H125)</f>
        <v>42562</v>
      </c>
      <c r="I122" s="27">
        <f t="shared" si="104"/>
        <v>-2420</v>
      </c>
      <c r="J122" s="28">
        <f t="shared" si="75"/>
        <v>-5.3799297496776495</v>
      </c>
      <c r="K122" s="23">
        <f t="shared" ref="K122" si="117">SUM(K123:K125)</f>
        <v>29541</v>
      </c>
      <c r="L122" s="27">
        <f t="shared" si="114"/>
        <v>-13021</v>
      </c>
      <c r="M122" s="28">
        <f t="shared" si="69"/>
        <v>-30.593017245430197</v>
      </c>
      <c r="N122" s="23">
        <f t="shared" ref="N122" si="118">SUM(N123:N125)</f>
        <v>41078</v>
      </c>
      <c r="O122" s="27">
        <f t="shared" si="109"/>
        <v>11537</v>
      </c>
      <c r="P122" s="29">
        <f t="shared" si="72"/>
        <v>39.054195863376322</v>
      </c>
    </row>
    <row r="123" spans="2:16" ht="15" thickBot="1">
      <c r="B123" s="9" t="s">
        <v>9</v>
      </c>
      <c r="C123" s="18" t="s">
        <v>213</v>
      </c>
      <c r="D123" s="19">
        <v>4835</v>
      </c>
      <c r="E123" s="19">
        <v>15235</v>
      </c>
      <c r="F123" s="27">
        <f t="shared" si="64"/>
        <v>10400</v>
      </c>
      <c r="G123" s="28">
        <f t="shared" si="65"/>
        <v>215.09824198552226</v>
      </c>
      <c r="H123" s="19">
        <v>18206</v>
      </c>
      <c r="I123" s="27">
        <f t="shared" si="104"/>
        <v>2971</v>
      </c>
      <c r="J123" s="28">
        <f t="shared" si="75"/>
        <v>19.501148670823763</v>
      </c>
      <c r="K123" s="19">
        <v>10183</v>
      </c>
      <c r="L123" s="27">
        <f t="shared" si="114"/>
        <v>-8023</v>
      </c>
      <c r="M123" s="28">
        <f t="shared" si="69"/>
        <v>-44.067889706690103</v>
      </c>
      <c r="N123" s="19">
        <v>18932</v>
      </c>
      <c r="O123" s="27">
        <f t="shared" si="109"/>
        <v>8749</v>
      </c>
      <c r="P123" s="29">
        <f t="shared" si="72"/>
        <v>85.917705980555823</v>
      </c>
    </row>
    <row r="124" spans="2:16" ht="15" thickBot="1">
      <c r="B124" s="9" t="s">
        <v>11</v>
      </c>
      <c r="C124" s="18" t="s">
        <v>214</v>
      </c>
      <c r="D124" s="22">
        <v>21725</v>
      </c>
      <c r="E124" s="22">
        <v>29747</v>
      </c>
      <c r="F124" s="27">
        <f t="shared" si="64"/>
        <v>8022</v>
      </c>
      <c r="G124" s="28">
        <f t="shared" si="65"/>
        <v>36.925201380897583</v>
      </c>
      <c r="H124" s="22">
        <v>24356</v>
      </c>
      <c r="I124" s="27">
        <f t="shared" si="104"/>
        <v>-5391</v>
      </c>
      <c r="J124" s="28">
        <f t="shared" si="75"/>
        <v>-18.122835916226844</v>
      </c>
      <c r="K124" s="22">
        <v>19358</v>
      </c>
      <c r="L124" s="27">
        <f t="shared" si="114"/>
        <v>-4998</v>
      </c>
      <c r="M124" s="28">
        <f t="shared" si="69"/>
        <v>-20.520610937756611</v>
      </c>
      <c r="N124" s="22">
        <v>22146</v>
      </c>
      <c r="O124" s="27">
        <f t="shared" si="109"/>
        <v>2788</v>
      </c>
      <c r="P124" s="29">
        <f t="shared" si="72"/>
        <v>14.402314288666185</v>
      </c>
    </row>
    <row r="125" spans="2:16" ht="15" thickBot="1">
      <c r="B125" s="9" t="s">
        <v>13</v>
      </c>
      <c r="C125" s="18" t="s">
        <v>215</v>
      </c>
      <c r="D125" s="19">
        <v>0</v>
      </c>
      <c r="E125" s="19">
        <v>0</v>
      </c>
      <c r="F125" s="27">
        <f t="shared" si="64"/>
        <v>0</v>
      </c>
      <c r="G125" s="28" t="s">
        <v>227</v>
      </c>
      <c r="H125" s="19">
        <v>0</v>
      </c>
      <c r="I125" s="27">
        <f t="shared" si="104"/>
        <v>0</v>
      </c>
      <c r="J125" s="28" t="s">
        <v>227</v>
      </c>
      <c r="K125" s="19">
        <v>0</v>
      </c>
      <c r="L125" s="27">
        <f t="shared" si="114"/>
        <v>0</v>
      </c>
      <c r="M125" s="28" t="s">
        <v>227</v>
      </c>
      <c r="N125" s="19">
        <v>0</v>
      </c>
      <c r="O125" s="27">
        <f t="shared" si="109"/>
        <v>0</v>
      </c>
      <c r="P125" s="28" t="s">
        <v>227</v>
      </c>
    </row>
    <row r="126" spans="2:16" ht="15" thickBot="1">
      <c r="B126" s="15" t="s">
        <v>216</v>
      </c>
      <c r="C126" s="21" t="s">
        <v>217</v>
      </c>
      <c r="D126" s="20">
        <f>SUM(D127:D128)</f>
        <v>716</v>
      </c>
      <c r="E126" s="20">
        <f t="shared" ref="E126" si="119">SUM(E127:E128)</f>
        <v>389</v>
      </c>
      <c r="F126" s="27">
        <f t="shared" si="64"/>
        <v>-327</v>
      </c>
      <c r="G126" s="28">
        <f t="shared" si="65"/>
        <v>-45.670391061452513</v>
      </c>
      <c r="H126" s="20">
        <f t="shared" ref="H126" si="120">SUM(H127:H128)</f>
        <v>409</v>
      </c>
      <c r="I126" s="27">
        <f t="shared" si="104"/>
        <v>20</v>
      </c>
      <c r="J126" s="28">
        <f t="shared" si="75"/>
        <v>5.1413881748071981</v>
      </c>
      <c r="K126" s="20">
        <f t="shared" ref="K126" si="121">SUM(K127:K128)</f>
        <v>1004</v>
      </c>
      <c r="L126" s="27">
        <f t="shared" si="114"/>
        <v>595</v>
      </c>
      <c r="M126" s="28">
        <f t="shared" si="69"/>
        <v>145.47677261613691</v>
      </c>
      <c r="N126" s="20">
        <f t="shared" ref="N126" si="122">SUM(N127:N128)</f>
        <v>400</v>
      </c>
      <c r="O126" s="27">
        <f t="shared" si="109"/>
        <v>-604</v>
      </c>
      <c r="P126" s="29">
        <f t="shared" si="72"/>
        <v>-60.159362549800797</v>
      </c>
    </row>
    <row r="127" spans="2:16" ht="15" thickBot="1">
      <c r="B127" s="9" t="s">
        <v>9</v>
      </c>
      <c r="C127" s="18" t="s">
        <v>218</v>
      </c>
      <c r="D127" s="19">
        <v>623</v>
      </c>
      <c r="E127" s="19">
        <v>321</v>
      </c>
      <c r="F127" s="27">
        <f t="shared" si="64"/>
        <v>-302</v>
      </c>
      <c r="G127" s="28">
        <f t="shared" si="65"/>
        <v>-48.475120385232742</v>
      </c>
      <c r="H127" s="19">
        <v>340</v>
      </c>
      <c r="I127" s="27">
        <f t="shared" si="104"/>
        <v>19</v>
      </c>
      <c r="J127" s="28">
        <f t="shared" si="75"/>
        <v>5.9190031152647977</v>
      </c>
      <c r="K127" s="19">
        <v>912</v>
      </c>
      <c r="L127" s="27">
        <f t="shared" si="114"/>
        <v>572</v>
      </c>
      <c r="M127" s="28">
        <f t="shared" si="69"/>
        <v>168.23529411764707</v>
      </c>
      <c r="N127" s="19">
        <v>325</v>
      </c>
      <c r="O127" s="27">
        <f t="shared" si="109"/>
        <v>-587</v>
      </c>
      <c r="P127" s="29">
        <f t="shared" si="72"/>
        <v>-64.364035087719301</v>
      </c>
    </row>
    <row r="128" spans="2:16" ht="15" thickBot="1">
      <c r="B128" s="9" t="s">
        <v>11</v>
      </c>
      <c r="C128" s="18" t="s">
        <v>219</v>
      </c>
      <c r="D128" s="19">
        <v>93</v>
      </c>
      <c r="E128" s="19">
        <v>68</v>
      </c>
      <c r="F128" s="27">
        <f t="shared" si="64"/>
        <v>-25</v>
      </c>
      <c r="G128" s="28">
        <f t="shared" si="65"/>
        <v>-26.881720430107524</v>
      </c>
      <c r="H128" s="19">
        <v>69</v>
      </c>
      <c r="I128" s="27">
        <f t="shared" si="104"/>
        <v>1</v>
      </c>
      <c r="J128" s="28">
        <f t="shared" si="75"/>
        <v>1.4705882352941175</v>
      </c>
      <c r="K128" s="19">
        <v>92</v>
      </c>
      <c r="L128" s="27">
        <f t="shared" si="114"/>
        <v>23</v>
      </c>
      <c r="M128" s="28">
        <f t="shared" si="69"/>
        <v>33.333333333333329</v>
      </c>
      <c r="N128" s="19">
        <v>75</v>
      </c>
      <c r="O128" s="27">
        <f t="shared" si="109"/>
        <v>-17</v>
      </c>
      <c r="P128" s="29">
        <f>(N128-K128)/ABS(K128)*100</f>
        <v>-18.478260869565215</v>
      </c>
    </row>
  </sheetData>
  <mergeCells count="22">
    <mergeCell ref="B73:B74"/>
    <mergeCell ref="F3:G3"/>
    <mergeCell ref="I3:J3"/>
    <mergeCell ref="H3:H4"/>
    <mergeCell ref="D3:D4"/>
    <mergeCell ref="E3:E4"/>
    <mergeCell ref="C73:C74"/>
    <mergeCell ref="C3:C4"/>
    <mergeCell ref="B3:B4"/>
    <mergeCell ref="D73:D74"/>
    <mergeCell ref="E73:E74"/>
    <mergeCell ref="I73:J73"/>
    <mergeCell ref="K3:K4"/>
    <mergeCell ref="N3:N4"/>
    <mergeCell ref="L3:M3"/>
    <mergeCell ref="O3:P3"/>
    <mergeCell ref="F73:G73"/>
    <mergeCell ref="H73:H74"/>
    <mergeCell ref="K73:K74"/>
    <mergeCell ref="L73:M73"/>
    <mergeCell ref="N73:N74"/>
    <mergeCell ref="O73:P73"/>
  </mergeCells>
  <pageMargins left="0.7" right="0.7" top="0.78740157499999996" bottom="0.78740157499999996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topLeftCell="A46" workbookViewId="0">
      <selection activeCell="P10" sqref="P10"/>
    </sheetView>
  </sheetViews>
  <sheetFormatPr baseColWidth="10" defaultColWidth="8.83203125" defaultRowHeight="14" x14ac:dyDescent="0"/>
  <cols>
    <col min="3" max="3" width="60.33203125" bestFit="1" customWidth="1"/>
    <col min="4" max="5" width="10" bestFit="1" customWidth="1"/>
    <col min="8" max="8" width="10" bestFit="1" customWidth="1"/>
    <col min="11" max="11" width="10" bestFit="1" customWidth="1"/>
    <col min="14" max="14" width="10" bestFit="1" customWidth="1"/>
    <col min="17" max="17" width="3.33203125" customWidth="1"/>
    <col min="19" max="19" width="15.1640625" customWidth="1"/>
  </cols>
  <sheetData>
    <row r="1" spans="1:20">
      <c r="B1" s="16" t="s">
        <v>284</v>
      </c>
      <c r="O1" t="s">
        <v>228</v>
      </c>
    </row>
    <row r="2" spans="1:20" ht="15" thickBot="1">
      <c r="B2" s="16"/>
    </row>
    <row r="3" spans="1:20" ht="15" thickBot="1">
      <c r="B3" s="324" t="s">
        <v>0</v>
      </c>
      <c r="C3" s="324" t="s">
        <v>101</v>
      </c>
      <c r="D3" s="324">
        <v>2002</v>
      </c>
      <c r="E3" s="328">
        <v>2003</v>
      </c>
      <c r="F3" s="326" t="s">
        <v>279</v>
      </c>
      <c r="G3" s="327"/>
      <c r="H3" s="324">
        <v>2004</v>
      </c>
      <c r="I3" s="326" t="s">
        <v>280</v>
      </c>
      <c r="J3" s="327"/>
      <c r="K3" s="324">
        <v>2005</v>
      </c>
      <c r="L3" s="326" t="s">
        <v>281</v>
      </c>
      <c r="M3" s="327"/>
      <c r="N3" s="324">
        <v>2006</v>
      </c>
      <c r="O3" s="326" t="s">
        <v>282</v>
      </c>
      <c r="P3" s="327"/>
      <c r="R3" t="s">
        <v>229</v>
      </c>
    </row>
    <row r="4" spans="1:20" ht="15" thickBot="1">
      <c r="B4" s="325"/>
      <c r="C4" s="325"/>
      <c r="D4" s="325"/>
      <c r="E4" s="329"/>
      <c r="F4" s="26" t="s">
        <v>221</v>
      </c>
      <c r="G4" s="26" t="s">
        <v>222</v>
      </c>
      <c r="H4" s="325"/>
      <c r="I4" s="26" t="s">
        <v>221</v>
      </c>
      <c r="J4" s="26" t="s">
        <v>222</v>
      </c>
      <c r="K4" s="325"/>
      <c r="L4" s="26" t="s">
        <v>221</v>
      </c>
      <c r="M4" s="26" t="s">
        <v>222</v>
      </c>
      <c r="N4" s="325"/>
      <c r="O4" s="26" t="s">
        <v>221</v>
      </c>
      <c r="P4" s="26" t="s">
        <v>222</v>
      </c>
      <c r="R4" s="63" t="s">
        <v>230</v>
      </c>
      <c r="T4" s="62">
        <f>(N20-D20)/D20</f>
        <v>0.71137383744498317</v>
      </c>
    </row>
    <row r="5" spans="1:20" ht="15" thickBot="1">
      <c r="B5" s="4"/>
      <c r="C5" s="21" t="s">
        <v>102</v>
      </c>
      <c r="D5" s="23">
        <v>152051</v>
      </c>
      <c r="E5" s="23">
        <v>193207</v>
      </c>
      <c r="F5" s="27">
        <v>41156</v>
      </c>
      <c r="G5" s="139">
        <v>27.067234020164289</v>
      </c>
      <c r="H5" s="23">
        <v>211870</v>
      </c>
      <c r="I5" s="27">
        <v>18663</v>
      </c>
      <c r="J5" s="139">
        <v>9.659587903129804</v>
      </c>
      <c r="K5" s="23">
        <v>220505</v>
      </c>
      <c r="L5" s="27">
        <v>8635</v>
      </c>
      <c r="M5" s="139">
        <v>4.0756124038325385</v>
      </c>
      <c r="N5" s="23">
        <v>241980</v>
      </c>
      <c r="O5" s="27">
        <v>21475</v>
      </c>
      <c r="P5" s="141">
        <v>9.7390081857554254</v>
      </c>
      <c r="R5" t="s">
        <v>231</v>
      </c>
      <c r="T5" s="62">
        <f>D20/D5</f>
        <v>0.62648976330310224</v>
      </c>
    </row>
    <row r="6" spans="1:20" ht="15" thickBot="1">
      <c r="B6" s="15" t="s">
        <v>15</v>
      </c>
      <c r="C6" s="60" t="s">
        <v>104</v>
      </c>
      <c r="D6" s="23">
        <v>77972</v>
      </c>
      <c r="E6" s="23">
        <v>110286</v>
      </c>
      <c r="F6" s="27">
        <v>32314</v>
      </c>
      <c r="G6" s="139">
        <v>41.443082132047401</v>
      </c>
      <c r="H6" s="23">
        <v>116276</v>
      </c>
      <c r="I6" s="27">
        <v>5990</v>
      </c>
      <c r="J6" s="139">
        <v>5.431333079447981</v>
      </c>
      <c r="K6" s="23">
        <v>111887</v>
      </c>
      <c r="L6" s="27">
        <v>-4389</v>
      </c>
      <c r="M6" s="139">
        <v>-3.7746396504867725</v>
      </c>
      <c r="N6" s="23">
        <v>122053</v>
      </c>
      <c r="O6" s="27">
        <v>10166</v>
      </c>
      <c r="P6" s="141">
        <v>9.0859527916558669</v>
      </c>
      <c r="R6" t="s">
        <v>232</v>
      </c>
      <c r="T6" s="62">
        <f>N20/N5</f>
        <v>0.67370330192577899</v>
      </c>
    </row>
    <row r="7" spans="1:20" ht="15" thickBot="1">
      <c r="B7" s="9" t="s">
        <v>1</v>
      </c>
      <c r="C7" s="61" t="s">
        <v>105</v>
      </c>
      <c r="D7" s="20">
        <v>2068</v>
      </c>
      <c r="E7" s="20">
        <v>2823</v>
      </c>
      <c r="F7" s="27">
        <v>755</v>
      </c>
      <c r="G7" s="139">
        <v>36.50870406189555</v>
      </c>
      <c r="H7" s="20">
        <v>1747</v>
      </c>
      <c r="I7" s="27">
        <v>-1076</v>
      </c>
      <c r="J7" s="139">
        <v>-38.115479985830675</v>
      </c>
      <c r="K7" s="20">
        <v>2814</v>
      </c>
      <c r="L7" s="27">
        <v>1067</v>
      </c>
      <c r="M7" s="139">
        <v>61.076130509444759</v>
      </c>
      <c r="N7" s="20">
        <v>2673</v>
      </c>
      <c r="O7" s="27">
        <v>-141</v>
      </c>
      <c r="P7" s="141">
        <v>-5.0106609808102345</v>
      </c>
      <c r="R7" t="s">
        <v>233</v>
      </c>
      <c r="T7" s="10">
        <f>K13-K29</f>
        <v>13933</v>
      </c>
    </row>
    <row r="8" spans="1:20" ht="15" thickBot="1">
      <c r="B8" s="9" t="s">
        <v>7</v>
      </c>
      <c r="C8" s="61" t="s">
        <v>118</v>
      </c>
      <c r="D8" s="23">
        <v>75904</v>
      </c>
      <c r="E8" s="23">
        <v>107463</v>
      </c>
      <c r="F8" s="27">
        <v>31559</v>
      </c>
      <c r="G8" s="139">
        <v>41.577518971332211</v>
      </c>
      <c r="H8" s="23">
        <v>114529</v>
      </c>
      <c r="I8" s="27">
        <v>7066</v>
      </c>
      <c r="J8" s="139">
        <v>6.5752863776369548</v>
      </c>
      <c r="K8" s="23">
        <v>109073</v>
      </c>
      <c r="L8" s="27">
        <v>-5456</v>
      </c>
      <c r="M8" s="139">
        <v>-4.7638589352914984</v>
      </c>
      <c r="N8" s="23">
        <v>119380</v>
      </c>
      <c r="O8" s="27">
        <v>10307</v>
      </c>
      <c r="P8" s="141">
        <v>9.4496346483547704</v>
      </c>
      <c r="R8" t="s">
        <v>234</v>
      </c>
      <c r="T8" s="10">
        <f>N13-N29</f>
        <v>16020</v>
      </c>
    </row>
    <row r="9" spans="1:20" ht="15" thickBot="1">
      <c r="B9" s="9" t="s">
        <v>31</v>
      </c>
      <c r="C9" s="61" t="s">
        <v>129</v>
      </c>
      <c r="D9" s="23">
        <v>0</v>
      </c>
      <c r="E9" s="23">
        <v>0</v>
      </c>
      <c r="F9" s="27">
        <v>0</v>
      </c>
      <c r="G9" s="139" t="s">
        <v>227</v>
      </c>
      <c r="H9" s="23">
        <v>0</v>
      </c>
      <c r="I9" s="27">
        <v>0</v>
      </c>
      <c r="J9" s="139" t="s">
        <v>227</v>
      </c>
      <c r="K9" s="23">
        <v>0</v>
      </c>
      <c r="L9" s="27">
        <v>0</v>
      </c>
      <c r="M9" s="139" t="s">
        <v>227</v>
      </c>
      <c r="N9" s="23">
        <v>0</v>
      </c>
      <c r="O9" s="27">
        <v>0</v>
      </c>
      <c r="P9" s="141" t="s">
        <v>227</v>
      </c>
      <c r="R9" t="s">
        <v>235</v>
      </c>
      <c r="T9" s="10">
        <f>AVERAGE(D14,E14,H14,K14,N14)</f>
        <v>17102.599999999999</v>
      </c>
    </row>
    <row r="10" spans="1:20" ht="15" thickBot="1">
      <c r="A10" s="10"/>
      <c r="B10" s="15" t="s">
        <v>20</v>
      </c>
      <c r="C10" s="60" t="s">
        <v>137</v>
      </c>
      <c r="D10" s="23">
        <v>69989</v>
      </c>
      <c r="E10" s="23">
        <v>77665</v>
      </c>
      <c r="F10" s="27">
        <v>7676</v>
      </c>
      <c r="G10" s="139">
        <v>10.967437740216319</v>
      </c>
      <c r="H10" s="23">
        <v>89365</v>
      </c>
      <c r="I10" s="27">
        <v>11700</v>
      </c>
      <c r="J10" s="139">
        <v>15.064700959248054</v>
      </c>
      <c r="K10" s="23">
        <v>101171</v>
      </c>
      <c r="L10" s="27">
        <v>11806</v>
      </c>
      <c r="M10" s="139">
        <v>13.210988642085827</v>
      </c>
      <c r="N10" s="23">
        <v>110661</v>
      </c>
      <c r="O10" s="27">
        <v>9490</v>
      </c>
      <c r="P10" s="141">
        <v>9.3801583457710205</v>
      </c>
      <c r="R10" t="s">
        <v>236</v>
      </c>
      <c r="T10" s="10">
        <f>AVERAGE(D32,E32,H32,K32,N32)</f>
        <v>13478.2</v>
      </c>
    </row>
    <row r="11" spans="1:20" ht="15" thickBot="1">
      <c r="B11" s="9" t="s">
        <v>1</v>
      </c>
      <c r="C11" s="61" t="s">
        <v>138</v>
      </c>
      <c r="D11" s="23">
        <v>25104</v>
      </c>
      <c r="E11" s="23">
        <v>29283</v>
      </c>
      <c r="F11" s="27">
        <v>4179</v>
      </c>
      <c r="G11" s="139">
        <v>16.646749521988529</v>
      </c>
      <c r="H11" s="23">
        <v>36662</v>
      </c>
      <c r="I11" s="27">
        <v>7379</v>
      </c>
      <c r="J11" s="139">
        <v>25.198920875593352</v>
      </c>
      <c r="K11" s="23">
        <v>43562</v>
      </c>
      <c r="L11" s="27">
        <v>6900</v>
      </c>
      <c r="M11" s="139">
        <v>18.820577164366373</v>
      </c>
      <c r="N11" s="23">
        <v>45208</v>
      </c>
      <c r="O11" s="27">
        <v>1646</v>
      </c>
      <c r="P11" s="141">
        <v>3.778522565538772</v>
      </c>
    </row>
    <row r="12" spans="1:20" ht="15" thickBot="1">
      <c r="B12" s="9" t="s">
        <v>7</v>
      </c>
      <c r="C12" s="61" t="s">
        <v>145</v>
      </c>
      <c r="D12" s="23">
        <v>238</v>
      </c>
      <c r="E12" s="23">
        <v>325</v>
      </c>
      <c r="F12" s="27">
        <v>87</v>
      </c>
      <c r="G12" s="139">
        <v>36.554621848739494</v>
      </c>
      <c r="H12" s="23">
        <v>363</v>
      </c>
      <c r="I12" s="27">
        <v>38</v>
      </c>
      <c r="J12" s="139">
        <v>11.692307692307692</v>
      </c>
      <c r="K12" s="23">
        <v>245</v>
      </c>
      <c r="L12" s="27">
        <v>-118</v>
      </c>
      <c r="M12" s="139">
        <v>-32.506887052341597</v>
      </c>
      <c r="N12" s="23">
        <v>125</v>
      </c>
      <c r="O12" s="27">
        <v>-120</v>
      </c>
      <c r="P12" s="141">
        <v>-48.979591836734691</v>
      </c>
    </row>
    <row r="13" spans="1:20" ht="15" thickBot="1">
      <c r="B13" s="9" t="s">
        <v>31</v>
      </c>
      <c r="C13" s="61" t="s">
        <v>154</v>
      </c>
      <c r="D13" s="23">
        <v>26149</v>
      </c>
      <c r="E13" s="23">
        <v>29396</v>
      </c>
      <c r="F13" s="27">
        <v>3247</v>
      </c>
      <c r="G13" s="139">
        <v>12.417300852805079</v>
      </c>
      <c r="H13" s="23">
        <v>37374</v>
      </c>
      <c r="I13" s="27">
        <v>7978</v>
      </c>
      <c r="J13" s="139">
        <v>27.139746904340729</v>
      </c>
      <c r="K13" s="23">
        <v>43095</v>
      </c>
      <c r="L13" s="27">
        <v>5721</v>
      </c>
      <c r="M13" s="139">
        <v>15.307432974795313</v>
      </c>
      <c r="N13" s="23">
        <v>46209</v>
      </c>
      <c r="O13" s="27">
        <v>3114</v>
      </c>
      <c r="P13" s="141">
        <v>7.2258962756700313</v>
      </c>
    </row>
    <row r="14" spans="1:20" ht="15" thickBot="1">
      <c r="B14" s="9" t="s">
        <v>41</v>
      </c>
      <c r="C14" s="61" t="s">
        <v>158</v>
      </c>
      <c r="D14" s="23">
        <v>18498</v>
      </c>
      <c r="E14" s="23">
        <v>18661</v>
      </c>
      <c r="F14" s="27">
        <v>163</v>
      </c>
      <c r="G14" s="139">
        <v>0.88117634338847439</v>
      </c>
      <c r="H14" s="23">
        <v>14966</v>
      </c>
      <c r="I14" s="27">
        <v>-3695</v>
      </c>
      <c r="J14" s="139">
        <v>-19.800653769894431</v>
      </c>
      <c r="K14" s="23">
        <v>14269</v>
      </c>
      <c r="L14" s="27">
        <v>-697</v>
      </c>
      <c r="M14" s="139">
        <v>-4.657223038888147</v>
      </c>
      <c r="N14" s="23">
        <v>19119</v>
      </c>
      <c r="O14" s="27">
        <v>4850</v>
      </c>
      <c r="P14" s="141">
        <v>33.989768028593453</v>
      </c>
    </row>
    <row r="15" spans="1:20" s="32" customFormat="1">
      <c r="B15" s="31"/>
      <c r="D15" s="33"/>
      <c r="E15" s="33"/>
      <c r="F15" s="34"/>
      <c r="G15" s="35"/>
      <c r="H15" s="33"/>
      <c r="I15" s="34"/>
      <c r="J15" s="35"/>
      <c r="K15" s="33"/>
      <c r="L15" s="34"/>
      <c r="M15" s="35"/>
      <c r="N15" s="33"/>
      <c r="O15" s="34"/>
      <c r="P15" s="36"/>
    </row>
    <row r="16" spans="1:20" s="32" customFormat="1" ht="15" thickBot="1">
      <c r="B16" s="31"/>
      <c r="D16" s="33"/>
      <c r="E16" s="33"/>
      <c r="F16" s="34"/>
      <c r="G16" s="35"/>
      <c r="H16" s="33"/>
      <c r="I16" s="34"/>
      <c r="J16" s="35"/>
      <c r="K16" s="33"/>
      <c r="L16" s="34"/>
      <c r="M16" s="35"/>
      <c r="N16" s="33"/>
      <c r="O16" s="34"/>
      <c r="P16" s="36"/>
    </row>
    <row r="17" spans="1:16" s="32" customFormat="1" ht="15" thickBot="1">
      <c r="B17" s="126" t="s">
        <v>0</v>
      </c>
      <c r="C17" s="126" t="s">
        <v>168</v>
      </c>
      <c r="D17" s="126">
        <v>2002</v>
      </c>
      <c r="E17" s="128">
        <v>2003</v>
      </c>
      <c r="F17" s="326" t="s">
        <v>279</v>
      </c>
      <c r="G17" s="327"/>
      <c r="H17" s="126">
        <v>2004</v>
      </c>
      <c r="I17" s="326" t="s">
        <v>280</v>
      </c>
      <c r="J17" s="327"/>
      <c r="K17" s="324">
        <v>2005</v>
      </c>
      <c r="L17" s="326" t="s">
        <v>281</v>
      </c>
      <c r="M17" s="327"/>
      <c r="N17" s="324">
        <v>2006</v>
      </c>
      <c r="O17" s="326" t="s">
        <v>282</v>
      </c>
      <c r="P17" s="327"/>
    </row>
    <row r="18" spans="1:16" s="32" customFormat="1" ht="15" thickBot="1">
      <c r="B18" s="127"/>
      <c r="C18" s="127"/>
      <c r="D18" s="127"/>
      <c r="E18" s="129"/>
      <c r="F18" s="26" t="s">
        <v>221</v>
      </c>
      <c r="G18" s="26" t="s">
        <v>222</v>
      </c>
      <c r="H18" s="127"/>
      <c r="I18" s="26" t="s">
        <v>221</v>
      </c>
      <c r="J18" s="26" t="s">
        <v>222</v>
      </c>
      <c r="K18" s="325"/>
      <c r="L18" s="26" t="s">
        <v>221</v>
      </c>
      <c r="M18" s="26" t="s">
        <v>222</v>
      </c>
      <c r="N18" s="325"/>
      <c r="O18" s="26" t="s">
        <v>221</v>
      </c>
      <c r="P18" s="26" t="s">
        <v>222</v>
      </c>
    </row>
    <row r="19" spans="1:16" ht="15" thickBot="1">
      <c r="B19" s="4"/>
      <c r="C19" s="21" t="s">
        <v>169</v>
      </c>
      <c r="D19" s="23">
        <v>152051.39500000002</v>
      </c>
      <c r="E19" s="23">
        <v>193206.505</v>
      </c>
      <c r="F19" s="27">
        <v>41155.109999999986</v>
      </c>
      <c r="G19" s="139">
        <v>27.066578376344381</v>
      </c>
      <c r="H19" s="23">
        <v>211869.85700000002</v>
      </c>
      <c r="I19" s="27">
        <v>18663.352000000014</v>
      </c>
      <c r="J19" s="139">
        <v>9.6597948397234408</v>
      </c>
      <c r="K19" s="23">
        <v>220504.83600000001</v>
      </c>
      <c r="L19" s="27">
        <v>8634.9789999999921</v>
      </c>
      <c r="M19" s="139">
        <v>4.0756052428920979</v>
      </c>
      <c r="N19" s="23">
        <v>241979.72500000001</v>
      </c>
      <c r="O19" s="27">
        <v>21474.888999999996</v>
      </c>
      <c r="P19" s="141">
        <v>9.7389650900899039</v>
      </c>
    </row>
    <row r="20" spans="1:16" ht="15" thickBot="1">
      <c r="A20" s="10"/>
      <c r="B20" s="127" t="s">
        <v>3</v>
      </c>
      <c r="C20" s="60" t="s">
        <v>170</v>
      </c>
      <c r="D20" s="23">
        <v>95258.395000000004</v>
      </c>
      <c r="E20" s="23">
        <v>119053.505</v>
      </c>
      <c r="F20" s="27">
        <v>23795.11</v>
      </c>
      <c r="G20" s="139">
        <v>24.979541173247775</v>
      </c>
      <c r="H20" s="23">
        <v>134771.85700000002</v>
      </c>
      <c r="I20" s="27">
        <v>15718.352000000014</v>
      </c>
      <c r="J20" s="139">
        <v>13.202762908996265</v>
      </c>
      <c r="K20" s="23">
        <v>154213.83600000001</v>
      </c>
      <c r="L20" s="27">
        <v>19441.978999999992</v>
      </c>
      <c r="M20" s="139">
        <v>14.425844855725323</v>
      </c>
      <c r="N20" s="23">
        <v>163022.72500000001</v>
      </c>
      <c r="O20" s="27">
        <v>8808.8889999999956</v>
      </c>
      <c r="P20" s="141">
        <v>5.7121262452741242</v>
      </c>
    </row>
    <row r="21" spans="1:16" ht="15" thickBot="1">
      <c r="B21" s="9" t="s">
        <v>1</v>
      </c>
      <c r="C21" s="61" t="s">
        <v>171</v>
      </c>
      <c r="D21" s="23">
        <v>12000</v>
      </c>
      <c r="E21" s="23">
        <v>12000</v>
      </c>
      <c r="F21" s="27">
        <v>0</v>
      </c>
      <c r="G21" s="139">
        <v>0</v>
      </c>
      <c r="H21" s="23">
        <v>12000</v>
      </c>
      <c r="I21" s="27">
        <v>0</v>
      </c>
      <c r="J21" s="139">
        <v>0</v>
      </c>
      <c r="K21" s="23">
        <v>12000</v>
      </c>
      <c r="L21" s="27">
        <v>0</v>
      </c>
      <c r="M21" s="139">
        <v>0</v>
      </c>
      <c r="N21" s="23">
        <v>12000</v>
      </c>
      <c r="O21" s="27">
        <v>0</v>
      </c>
      <c r="P21" s="141">
        <v>0</v>
      </c>
    </row>
    <row r="22" spans="1:16" ht="15" thickBot="1">
      <c r="B22" s="9" t="s">
        <v>31</v>
      </c>
      <c r="C22" s="61" t="s">
        <v>180</v>
      </c>
      <c r="D22" s="23">
        <v>1196</v>
      </c>
      <c r="E22" s="23">
        <v>1191</v>
      </c>
      <c r="F22" s="27">
        <v>-5</v>
      </c>
      <c r="G22" s="139">
        <v>-0.41806020066889632</v>
      </c>
      <c r="H22" s="23">
        <v>1177</v>
      </c>
      <c r="I22" s="27">
        <v>-14</v>
      </c>
      <c r="J22" s="139">
        <v>-1.1754827875734677</v>
      </c>
      <c r="K22" s="23">
        <v>1186</v>
      </c>
      <c r="L22" s="27">
        <v>9</v>
      </c>
      <c r="M22" s="139">
        <v>0.76465590484282076</v>
      </c>
      <c r="N22" s="23">
        <v>1218</v>
      </c>
      <c r="O22" s="27">
        <v>32</v>
      </c>
      <c r="P22" s="141">
        <v>2.6981450252951094</v>
      </c>
    </row>
    <row r="23" spans="1:16" ht="15" thickBot="1">
      <c r="B23" s="9" t="s">
        <v>41</v>
      </c>
      <c r="C23" s="61" t="s">
        <v>183</v>
      </c>
      <c r="D23" s="23">
        <v>55356</v>
      </c>
      <c r="E23" s="23">
        <v>81162</v>
      </c>
      <c r="F23" s="27">
        <v>25806</v>
      </c>
      <c r="G23" s="139">
        <v>46.618252763928034</v>
      </c>
      <c r="H23" s="23">
        <v>101263</v>
      </c>
      <c r="I23" s="27">
        <v>20101</v>
      </c>
      <c r="J23" s="139">
        <v>24.766516350016019</v>
      </c>
      <c r="K23" s="23">
        <v>113984</v>
      </c>
      <c r="L23" s="27">
        <v>12721</v>
      </c>
      <c r="M23" s="139">
        <v>12.562337675162697</v>
      </c>
      <c r="N23" s="23">
        <v>130321</v>
      </c>
      <c r="O23" s="27">
        <v>16337</v>
      </c>
      <c r="P23" s="141">
        <v>14.332713363279057</v>
      </c>
    </row>
    <row r="24" spans="1:16" ht="15" thickBot="1">
      <c r="B24" s="9" t="s">
        <v>45</v>
      </c>
      <c r="C24" s="61" t="s">
        <v>186</v>
      </c>
      <c r="D24" s="23">
        <v>26706.395000000004</v>
      </c>
      <c r="E24" s="23">
        <v>24700.505000000005</v>
      </c>
      <c r="F24" s="27">
        <v>-2005.8899999999994</v>
      </c>
      <c r="G24" s="139">
        <v>-7.5108976707638719</v>
      </c>
      <c r="H24" s="23">
        <v>20331.857000000004</v>
      </c>
      <c r="I24" s="27">
        <v>-4368.648000000001</v>
      </c>
      <c r="J24" s="139">
        <v>-17.686472402082469</v>
      </c>
      <c r="K24" s="23">
        <v>27043.835999999996</v>
      </c>
      <c r="L24" s="27">
        <v>6711.9789999999921</v>
      </c>
      <c r="M24" s="139">
        <v>33.012129683973242</v>
      </c>
      <c r="N24" s="23">
        <v>19483.725000000006</v>
      </c>
      <c r="O24" s="27">
        <v>-7560.1109999999899</v>
      </c>
      <c r="P24" s="141">
        <v>-27.955024575655578</v>
      </c>
    </row>
    <row r="25" spans="1:16" ht="15" thickBot="1">
      <c r="A25" s="10"/>
      <c r="B25" s="127" t="s">
        <v>15</v>
      </c>
      <c r="C25" s="60" t="s">
        <v>187</v>
      </c>
      <c r="D25" s="23">
        <v>56077</v>
      </c>
      <c r="E25" s="23">
        <v>73764</v>
      </c>
      <c r="F25" s="27">
        <v>17687</v>
      </c>
      <c r="G25" s="139">
        <v>31.540560301014676</v>
      </c>
      <c r="H25" s="23">
        <v>76689</v>
      </c>
      <c r="I25" s="27">
        <v>2925</v>
      </c>
      <c r="J25" s="139">
        <v>3.9653489507076625</v>
      </c>
      <c r="K25" s="23">
        <v>65287</v>
      </c>
      <c r="L25" s="27">
        <v>-11402</v>
      </c>
      <c r="M25" s="139">
        <v>-14.867842845779707</v>
      </c>
      <c r="N25" s="23">
        <v>78557</v>
      </c>
      <c r="O25" s="27">
        <v>13270</v>
      </c>
      <c r="P25" s="141">
        <v>20.325639101199318</v>
      </c>
    </row>
    <row r="26" spans="1:16" ht="15" thickBot="1">
      <c r="B26" s="9" t="s">
        <v>1</v>
      </c>
      <c r="C26" s="61" t="s">
        <v>188</v>
      </c>
      <c r="D26" s="23">
        <v>1455</v>
      </c>
      <c r="E26" s="23">
        <v>1112</v>
      </c>
      <c r="F26" s="27">
        <v>-343</v>
      </c>
      <c r="G26" s="139">
        <v>-23.573883161512025</v>
      </c>
      <c r="H26" s="23">
        <v>985</v>
      </c>
      <c r="I26" s="27">
        <v>-127</v>
      </c>
      <c r="J26" s="139">
        <v>-11.420863309352518</v>
      </c>
      <c r="K26" s="23">
        <v>845</v>
      </c>
      <c r="L26" s="27">
        <v>-140</v>
      </c>
      <c r="M26" s="139">
        <v>-14.213197969543149</v>
      </c>
      <c r="N26" s="23">
        <v>716</v>
      </c>
      <c r="O26" s="27">
        <v>-129</v>
      </c>
      <c r="P26" s="141">
        <v>-15.266272189349111</v>
      </c>
    </row>
    <row r="27" spans="1:16" ht="15" thickBot="1">
      <c r="B27" s="9" t="s">
        <v>7</v>
      </c>
      <c r="C27" s="61" t="s">
        <v>193</v>
      </c>
      <c r="D27" s="23">
        <v>3235</v>
      </c>
      <c r="E27" s="23">
        <v>4428</v>
      </c>
      <c r="F27" s="27">
        <v>1193</v>
      </c>
      <c r="G27" s="139">
        <v>36.877897990726424</v>
      </c>
      <c r="H27" s="23">
        <v>4949</v>
      </c>
      <c r="I27" s="27">
        <v>521</v>
      </c>
      <c r="J27" s="139">
        <v>11.766034327009937</v>
      </c>
      <c r="K27" s="23">
        <v>5739</v>
      </c>
      <c r="L27" s="27">
        <v>790</v>
      </c>
      <c r="M27" s="139">
        <v>15.962820771873107</v>
      </c>
      <c r="N27" s="23">
        <v>6574</v>
      </c>
      <c r="O27" s="27">
        <v>835</v>
      </c>
      <c r="P27" s="141">
        <v>14.549573096358252</v>
      </c>
    </row>
    <row r="28" spans="1:16" ht="15" thickBot="1">
      <c r="B28" s="9" t="s">
        <v>203</v>
      </c>
      <c r="C28" s="39" t="s">
        <v>204</v>
      </c>
      <c r="D28" s="22">
        <v>3235</v>
      </c>
      <c r="E28" s="22">
        <v>4428</v>
      </c>
      <c r="F28" s="27">
        <v>1193</v>
      </c>
      <c r="G28" s="139">
        <v>36.877897990726424</v>
      </c>
      <c r="H28" s="22">
        <v>4949</v>
      </c>
      <c r="I28" s="27">
        <v>521</v>
      </c>
      <c r="J28" s="139">
        <v>11.766034327009937</v>
      </c>
      <c r="K28" s="22">
        <v>5739</v>
      </c>
      <c r="L28" s="27">
        <v>790</v>
      </c>
      <c r="M28" s="139">
        <v>15.962820771873107</v>
      </c>
      <c r="N28" s="22">
        <v>6574</v>
      </c>
      <c r="O28" s="27">
        <v>835</v>
      </c>
      <c r="P28" s="141">
        <v>14.549573096358252</v>
      </c>
    </row>
    <row r="29" spans="1:16" ht="15" thickBot="1">
      <c r="B29" s="9" t="s">
        <v>31</v>
      </c>
      <c r="C29" s="61" t="s">
        <v>205</v>
      </c>
      <c r="D29" s="23">
        <v>24827</v>
      </c>
      <c r="E29" s="23">
        <v>23242</v>
      </c>
      <c r="F29" s="27">
        <v>-1585</v>
      </c>
      <c r="G29" s="139">
        <v>-6.3841785153260568</v>
      </c>
      <c r="H29" s="23">
        <v>28193</v>
      </c>
      <c r="I29" s="27">
        <v>4951</v>
      </c>
      <c r="J29" s="139">
        <v>21.301953360296018</v>
      </c>
      <c r="K29" s="23">
        <v>29162</v>
      </c>
      <c r="L29" s="27">
        <v>969</v>
      </c>
      <c r="M29" s="139">
        <v>3.4370233745965311</v>
      </c>
      <c r="N29" s="23">
        <v>30189</v>
      </c>
      <c r="O29" s="27">
        <v>1027</v>
      </c>
      <c r="P29" s="141">
        <v>3.5217063301556819</v>
      </c>
    </row>
    <row r="30" spans="1:16" ht="15" thickBot="1">
      <c r="B30" s="9" t="s">
        <v>9</v>
      </c>
      <c r="C30" s="39" t="s">
        <v>194</v>
      </c>
      <c r="D30" s="22">
        <v>14233</v>
      </c>
      <c r="E30" s="22">
        <v>16328</v>
      </c>
      <c r="F30" s="27">
        <v>2095</v>
      </c>
      <c r="G30" s="139">
        <v>14.719314269655026</v>
      </c>
      <c r="H30" s="22">
        <v>17414</v>
      </c>
      <c r="I30" s="27">
        <v>1086</v>
      </c>
      <c r="J30" s="139">
        <v>6.6511513963743258</v>
      </c>
      <c r="K30" s="22">
        <v>15328</v>
      </c>
      <c r="L30" s="27">
        <v>-2086</v>
      </c>
      <c r="M30" s="139">
        <v>-11.978867577810956</v>
      </c>
      <c r="N30" s="22">
        <v>18245</v>
      </c>
      <c r="O30" s="27">
        <v>2917</v>
      </c>
      <c r="P30" s="141">
        <v>19.03053235908142</v>
      </c>
    </row>
    <row r="31" spans="1:16" ht="15" thickBot="1">
      <c r="B31" s="9" t="s">
        <v>41</v>
      </c>
      <c r="C31" s="61" t="s">
        <v>212</v>
      </c>
      <c r="D31" s="23">
        <v>26560</v>
      </c>
      <c r="E31" s="23">
        <v>44982</v>
      </c>
      <c r="F31" s="27">
        <v>18422</v>
      </c>
      <c r="G31" s="139">
        <v>69.359939759036152</v>
      </c>
      <c r="H31" s="23">
        <v>42562</v>
      </c>
      <c r="I31" s="27">
        <v>-2420</v>
      </c>
      <c r="J31" s="139">
        <v>-5.3799297496776495</v>
      </c>
      <c r="K31" s="23">
        <v>29541</v>
      </c>
      <c r="L31" s="27">
        <v>-13021</v>
      </c>
      <c r="M31" s="139">
        <v>-30.593017245430197</v>
      </c>
      <c r="N31" s="23">
        <v>41078</v>
      </c>
      <c r="O31" s="27">
        <v>11537</v>
      </c>
      <c r="P31" s="141">
        <v>39.054195863376322</v>
      </c>
    </row>
    <row r="32" spans="1:16" ht="15" thickBot="1">
      <c r="B32" s="9" t="s">
        <v>9</v>
      </c>
      <c r="C32" s="39" t="s">
        <v>213</v>
      </c>
      <c r="D32" s="22">
        <v>4835</v>
      </c>
      <c r="E32" s="22">
        <v>15235</v>
      </c>
      <c r="F32" s="27">
        <v>10400</v>
      </c>
      <c r="G32" s="139">
        <v>215.09824198552226</v>
      </c>
      <c r="H32" s="22">
        <v>18206</v>
      </c>
      <c r="I32" s="27">
        <v>2971</v>
      </c>
      <c r="J32" s="139">
        <v>19.501148670823763</v>
      </c>
      <c r="K32" s="22">
        <v>10183</v>
      </c>
      <c r="L32" s="27">
        <v>-8023</v>
      </c>
      <c r="M32" s="139">
        <v>-44.067889706690103</v>
      </c>
      <c r="N32" s="22">
        <v>18932</v>
      </c>
      <c r="O32" s="27">
        <v>8749</v>
      </c>
      <c r="P32" s="141">
        <v>85.917705980555823</v>
      </c>
    </row>
    <row r="33" spans="2:16" ht="15" thickBot="1">
      <c r="B33" s="9" t="s">
        <v>11</v>
      </c>
      <c r="C33" s="39" t="s">
        <v>214</v>
      </c>
      <c r="D33" s="22">
        <v>21725</v>
      </c>
      <c r="E33" s="22">
        <v>29747</v>
      </c>
      <c r="F33" s="27">
        <v>8022</v>
      </c>
      <c r="G33" s="139">
        <v>36.925201380897583</v>
      </c>
      <c r="H33" s="22">
        <v>24356</v>
      </c>
      <c r="I33" s="27">
        <v>-5391</v>
      </c>
      <c r="J33" s="139">
        <v>-18.122835916226844</v>
      </c>
      <c r="K33" s="22">
        <v>19358</v>
      </c>
      <c r="L33" s="27">
        <v>-4998</v>
      </c>
      <c r="M33" s="139">
        <v>-20.520610937756611</v>
      </c>
      <c r="N33" s="22">
        <v>22146</v>
      </c>
      <c r="O33" s="27">
        <v>2788</v>
      </c>
      <c r="P33" s="141">
        <v>14.402314288666185</v>
      </c>
    </row>
    <row r="35" spans="2:16">
      <c r="B35" s="289" t="s">
        <v>395</v>
      </c>
      <c r="G35" s="16" t="s">
        <v>396</v>
      </c>
    </row>
    <row r="38" spans="2:16">
      <c r="J38">
        <v>2002</v>
      </c>
      <c r="K38">
        <v>2003</v>
      </c>
      <c r="L38">
        <v>2004</v>
      </c>
      <c r="M38">
        <v>2005</v>
      </c>
      <c r="N38">
        <v>2006</v>
      </c>
    </row>
    <row r="65" spans="2:2">
      <c r="B65" s="16" t="s">
        <v>397</v>
      </c>
    </row>
    <row r="91" spans="10:10">
      <c r="J91" t="s">
        <v>226</v>
      </c>
    </row>
  </sheetData>
  <mergeCells count="17">
    <mergeCell ref="F17:G17"/>
    <mergeCell ref="I17:J17"/>
    <mergeCell ref="O17:P17"/>
    <mergeCell ref="I3:J3"/>
    <mergeCell ref="K3:K4"/>
    <mergeCell ref="L3:M3"/>
    <mergeCell ref="N3:N4"/>
    <mergeCell ref="O3:P3"/>
    <mergeCell ref="K17:K18"/>
    <mergeCell ref="L17:M17"/>
    <mergeCell ref="N17:N18"/>
    <mergeCell ref="H3:H4"/>
    <mergeCell ref="B3:B4"/>
    <mergeCell ref="C3:C4"/>
    <mergeCell ref="D3:D4"/>
    <mergeCell ref="E3:E4"/>
    <mergeCell ref="F3:G3"/>
  </mergeCells>
  <pageMargins left="0.7" right="0.7" top="0.78740157499999996" bottom="0.78740157499999996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opLeftCell="C1" workbookViewId="0">
      <selection activeCell="L5" sqref="L5"/>
    </sheetView>
  </sheetViews>
  <sheetFormatPr baseColWidth="10" defaultColWidth="8.83203125" defaultRowHeight="14" x14ac:dyDescent="0"/>
  <cols>
    <col min="2" max="2" width="50.33203125" customWidth="1"/>
    <col min="10" max="10" width="50.6640625" customWidth="1"/>
    <col min="11" max="11" width="7.1640625" customWidth="1"/>
    <col min="12" max="12" width="5.6640625" customWidth="1"/>
    <col min="13" max="13" width="6.1640625" customWidth="1"/>
    <col min="14" max="14" width="5.5" customWidth="1"/>
    <col min="15" max="15" width="6.83203125" customWidth="1"/>
    <col min="16" max="16" width="6" customWidth="1"/>
    <col min="17" max="17" width="7.1640625" customWidth="1"/>
    <col min="18" max="18" width="5.83203125" customWidth="1"/>
  </cols>
  <sheetData>
    <row r="1" spans="1:19">
      <c r="A1" s="16" t="s">
        <v>391</v>
      </c>
      <c r="I1" s="16" t="s">
        <v>392</v>
      </c>
    </row>
    <row r="2" spans="1:19" ht="15" thickBot="1"/>
    <row r="3" spans="1:19" ht="30.75" customHeight="1">
      <c r="A3" s="336"/>
      <c r="B3" s="330" t="s">
        <v>101</v>
      </c>
      <c r="C3" s="330">
        <v>2002</v>
      </c>
      <c r="D3" s="330">
        <v>2003</v>
      </c>
      <c r="E3" s="330">
        <v>2004</v>
      </c>
      <c r="F3" s="330">
        <v>2005</v>
      </c>
      <c r="G3" s="334">
        <v>2006</v>
      </c>
      <c r="I3" s="336"/>
      <c r="J3" s="330" t="s">
        <v>101</v>
      </c>
      <c r="K3" s="332" t="s">
        <v>279</v>
      </c>
      <c r="L3" s="332"/>
      <c r="M3" s="332" t="s">
        <v>280</v>
      </c>
      <c r="N3" s="332"/>
      <c r="O3" s="332" t="s">
        <v>281</v>
      </c>
      <c r="P3" s="332"/>
      <c r="Q3" s="332" t="s">
        <v>282</v>
      </c>
      <c r="R3" s="333"/>
    </row>
    <row r="4" spans="1:19">
      <c r="A4" s="337"/>
      <c r="B4" s="331"/>
      <c r="C4" s="331"/>
      <c r="D4" s="331"/>
      <c r="E4" s="331"/>
      <c r="F4" s="331"/>
      <c r="G4" s="335"/>
      <c r="I4" s="337"/>
      <c r="J4" s="331"/>
      <c r="K4" s="94" t="s">
        <v>221</v>
      </c>
      <c r="L4" s="96" t="s">
        <v>222</v>
      </c>
      <c r="M4" s="94" t="s">
        <v>221</v>
      </c>
      <c r="N4" s="96" t="s">
        <v>222</v>
      </c>
      <c r="O4" s="94" t="s">
        <v>221</v>
      </c>
      <c r="P4" s="96" t="s">
        <v>222</v>
      </c>
      <c r="Q4" s="94" t="s">
        <v>221</v>
      </c>
      <c r="R4" s="97" t="s">
        <v>222</v>
      </c>
    </row>
    <row r="5" spans="1:19">
      <c r="A5" s="86"/>
      <c r="B5" s="92" t="s">
        <v>102</v>
      </c>
      <c r="C5" s="102">
        <v>152051</v>
      </c>
      <c r="D5" s="102">
        <v>193207</v>
      </c>
      <c r="E5" s="102">
        <v>211870</v>
      </c>
      <c r="F5" s="102">
        <v>220505</v>
      </c>
      <c r="G5" s="104">
        <v>241980</v>
      </c>
      <c r="I5" s="86"/>
      <c r="J5" s="92" t="s">
        <v>102</v>
      </c>
      <c r="K5" s="147">
        <v>41156</v>
      </c>
      <c r="L5" s="148">
        <v>27.067234020164289</v>
      </c>
      <c r="M5" s="147">
        <v>18663</v>
      </c>
      <c r="N5" s="148">
        <v>9.659587903129804</v>
      </c>
      <c r="O5" s="147">
        <v>8635</v>
      </c>
      <c r="P5" s="148">
        <v>4.0756124038325385</v>
      </c>
      <c r="Q5" s="147">
        <v>21475</v>
      </c>
      <c r="R5" s="149">
        <v>9.7390081857554254</v>
      </c>
    </row>
    <row r="6" spans="1:19">
      <c r="A6" s="143" t="s">
        <v>15</v>
      </c>
      <c r="B6" s="93" t="s">
        <v>104</v>
      </c>
      <c r="C6" s="102">
        <v>77972</v>
      </c>
      <c r="D6" s="102">
        <v>110286</v>
      </c>
      <c r="E6" s="102">
        <v>116276</v>
      </c>
      <c r="F6" s="102">
        <v>111887</v>
      </c>
      <c r="G6" s="104">
        <v>122053</v>
      </c>
      <c r="I6" s="143" t="s">
        <v>15</v>
      </c>
      <c r="J6" s="93" t="s">
        <v>104</v>
      </c>
      <c r="K6" s="147">
        <v>32314</v>
      </c>
      <c r="L6" s="148">
        <v>41.443082132047401</v>
      </c>
      <c r="M6" s="147">
        <v>5990</v>
      </c>
      <c r="N6" s="148">
        <v>5.431333079447981</v>
      </c>
      <c r="O6" s="147">
        <v>-4389</v>
      </c>
      <c r="P6" s="148">
        <v>-3.7746396504867725</v>
      </c>
      <c r="Q6" s="147">
        <v>10166</v>
      </c>
      <c r="R6" s="149">
        <v>9.0859527916558669</v>
      </c>
    </row>
    <row r="7" spans="1:19">
      <c r="A7" s="144" t="s">
        <v>1</v>
      </c>
      <c r="B7" s="95" t="s">
        <v>105</v>
      </c>
      <c r="C7" s="145">
        <v>2068</v>
      </c>
      <c r="D7" s="145">
        <v>2823</v>
      </c>
      <c r="E7" s="145">
        <v>1747</v>
      </c>
      <c r="F7" s="145">
        <v>2814</v>
      </c>
      <c r="G7" s="146">
        <v>2673</v>
      </c>
      <c r="I7" s="144" t="s">
        <v>1</v>
      </c>
      <c r="J7" s="95" t="s">
        <v>105</v>
      </c>
      <c r="K7" s="147">
        <v>755</v>
      </c>
      <c r="L7" s="148">
        <v>36.50870406189555</v>
      </c>
      <c r="M7" s="147">
        <v>-1076</v>
      </c>
      <c r="N7" s="148">
        <v>-38.115479985830675</v>
      </c>
      <c r="O7" s="147">
        <v>1067</v>
      </c>
      <c r="P7" s="148">
        <v>61.076130509444759</v>
      </c>
      <c r="Q7" s="147">
        <v>-141</v>
      </c>
      <c r="R7" s="149">
        <v>-5.0106609808102345</v>
      </c>
    </row>
    <row r="8" spans="1:19">
      <c r="A8" s="144" t="s">
        <v>7</v>
      </c>
      <c r="B8" s="95" t="s">
        <v>118</v>
      </c>
      <c r="C8" s="102">
        <v>75904</v>
      </c>
      <c r="D8" s="102">
        <v>107463</v>
      </c>
      <c r="E8" s="102">
        <v>114529</v>
      </c>
      <c r="F8" s="102">
        <v>109073</v>
      </c>
      <c r="G8" s="104">
        <v>119380</v>
      </c>
      <c r="I8" s="144" t="s">
        <v>7</v>
      </c>
      <c r="J8" s="95" t="s">
        <v>118</v>
      </c>
      <c r="K8" s="147">
        <v>31559</v>
      </c>
      <c r="L8" s="148">
        <v>41.577518971332211</v>
      </c>
      <c r="M8" s="147">
        <v>7066</v>
      </c>
      <c r="N8" s="148">
        <v>6.5752863776369548</v>
      </c>
      <c r="O8" s="147">
        <v>-5456</v>
      </c>
      <c r="P8" s="148">
        <v>-4.7638589352914984</v>
      </c>
      <c r="Q8" s="147">
        <v>10307</v>
      </c>
      <c r="R8" s="149">
        <v>9.4496346483547704</v>
      </c>
    </row>
    <row r="9" spans="1:19">
      <c r="A9" s="144" t="s">
        <v>31</v>
      </c>
      <c r="B9" s="95" t="s">
        <v>129</v>
      </c>
      <c r="C9" s="102">
        <v>0</v>
      </c>
      <c r="D9" s="102">
        <v>0</v>
      </c>
      <c r="E9" s="102">
        <v>0</v>
      </c>
      <c r="F9" s="102">
        <v>0</v>
      </c>
      <c r="G9" s="104">
        <v>0</v>
      </c>
      <c r="I9" s="144" t="s">
        <v>31</v>
      </c>
      <c r="J9" s="95" t="s">
        <v>129</v>
      </c>
      <c r="K9" s="147">
        <v>0</v>
      </c>
      <c r="L9" s="148" t="s">
        <v>227</v>
      </c>
      <c r="M9" s="147">
        <v>0</v>
      </c>
      <c r="N9" s="148" t="s">
        <v>227</v>
      </c>
      <c r="O9" s="147">
        <v>0</v>
      </c>
      <c r="P9" s="148" t="s">
        <v>227</v>
      </c>
      <c r="Q9" s="147">
        <v>0</v>
      </c>
      <c r="R9" s="150" t="s">
        <v>227</v>
      </c>
    </row>
    <row r="10" spans="1:19">
      <c r="A10" s="143" t="s">
        <v>20</v>
      </c>
      <c r="B10" s="93" t="s">
        <v>137</v>
      </c>
      <c r="C10" s="102">
        <v>69989</v>
      </c>
      <c r="D10" s="102">
        <v>77665</v>
      </c>
      <c r="E10" s="102">
        <v>89365</v>
      </c>
      <c r="F10" s="102">
        <v>101171</v>
      </c>
      <c r="G10" s="104">
        <v>110661</v>
      </c>
      <c r="I10" s="143" t="s">
        <v>20</v>
      </c>
      <c r="J10" s="93" t="s">
        <v>137</v>
      </c>
      <c r="K10" s="147">
        <v>7676</v>
      </c>
      <c r="L10" s="148">
        <v>10.967437740216319</v>
      </c>
      <c r="M10" s="147">
        <v>11700</v>
      </c>
      <c r="N10" s="148">
        <v>15.064700959248054</v>
      </c>
      <c r="O10" s="147">
        <v>11806</v>
      </c>
      <c r="P10" s="148">
        <v>13.210988642085827</v>
      </c>
      <c r="Q10" s="147">
        <v>9490</v>
      </c>
      <c r="R10" s="149">
        <v>9.3801583457710205</v>
      </c>
    </row>
    <row r="11" spans="1:19">
      <c r="A11" s="144" t="s">
        <v>1</v>
      </c>
      <c r="B11" s="95" t="s">
        <v>138</v>
      </c>
      <c r="C11" s="102">
        <v>25104</v>
      </c>
      <c r="D11" s="102">
        <v>29283</v>
      </c>
      <c r="E11" s="102">
        <v>36662</v>
      </c>
      <c r="F11" s="102">
        <v>43562</v>
      </c>
      <c r="G11" s="104">
        <v>45208</v>
      </c>
      <c r="I11" s="144" t="s">
        <v>1</v>
      </c>
      <c r="J11" s="95" t="s">
        <v>138</v>
      </c>
      <c r="K11" s="147">
        <v>4179</v>
      </c>
      <c r="L11" s="148">
        <v>16.646749521988529</v>
      </c>
      <c r="M11" s="147">
        <v>7379</v>
      </c>
      <c r="N11" s="148">
        <v>25.198920875593352</v>
      </c>
      <c r="O11" s="147">
        <v>6900</v>
      </c>
      <c r="P11" s="148">
        <v>18.820577164366373</v>
      </c>
      <c r="Q11" s="147">
        <v>1646</v>
      </c>
      <c r="R11" s="149">
        <v>3.778522565538772</v>
      </c>
    </row>
    <row r="12" spans="1:19">
      <c r="A12" s="144" t="s">
        <v>7</v>
      </c>
      <c r="B12" s="95" t="s">
        <v>145</v>
      </c>
      <c r="C12" s="102">
        <v>238</v>
      </c>
      <c r="D12" s="102">
        <v>325</v>
      </c>
      <c r="E12" s="102">
        <v>363</v>
      </c>
      <c r="F12" s="102">
        <v>245</v>
      </c>
      <c r="G12" s="104">
        <v>125</v>
      </c>
      <c r="I12" s="144" t="s">
        <v>7</v>
      </c>
      <c r="J12" s="95" t="s">
        <v>145</v>
      </c>
      <c r="K12" s="147">
        <v>87</v>
      </c>
      <c r="L12" s="148">
        <v>36.554621848739494</v>
      </c>
      <c r="M12" s="147">
        <v>38</v>
      </c>
      <c r="N12" s="148">
        <v>11.692307692307692</v>
      </c>
      <c r="O12" s="147">
        <v>-118</v>
      </c>
      <c r="P12" s="148">
        <v>-32.506887052341597</v>
      </c>
      <c r="Q12" s="147">
        <v>-120</v>
      </c>
      <c r="R12" s="149">
        <v>-48.979591836734691</v>
      </c>
    </row>
    <row r="13" spans="1:19">
      <c r="A13" s="144" t="s">
        <v>31</v>
      </c>
      <c r="B13" s="95" t="s">
        <v>154</v>
      </c>
      <c r="C13" s="102">
        <v>26149</v>
      </c>
      <c r="D13" s="102">
        <v>29396</v>
      </c>
      <c r="E13" s="102">
        <v>37374</v>
      </c>
      <c r="F13" s="102">
        <v>43095</v>
      </c>
      <c r="G13" s="104">
        <v>46209</v>
      </c>
      <c r="I13" s="144" t="s">
        <v>31</v>
      </c>
      <c r="J13" s="95" t="s">
        <v>154</v>
      </c>
      <c r="K13" s="147">
        <v>3247</v>
      </c>
      <c r="L13" s="148">
        <v>12.417300852805079</v>
      </c>
      <c r="M13" s="147">
        <v>7978</v>
      </c>
      <c r="N13" s="148">
        <v>27.139746904340729</v>
      </c>
      <c r="O13" s="147">
        <v>5721</v>
      </c>
      <c r="P13" s="148">
        <v>15.307432974795313</v>
      </c>
      <c r="Q13" s="147">
        <v>3114</v>
      </c>
      <c r="R13" s="149">
        <v>7.2258962756700313</v>
      </c>
    </row>
    <row r="14" spans="1:19" ht="15" thickBot="1">
      <c r="A14" s="98" t="s">
        <v>41</v>
      </c>
      <c r="B14" s="101" t="s">
        <v>158</v>
      </c>
      <c r="C14" s="108">
        <v>18498</v>
      </c>
      <c r="D14" s="108">
        <v>18661</v>
      </c>
      <c r="E14" s="108">
        <v>14966</v>
      </c>
      <c r="F14" s="108">
        <v>14269</v>
      </c>
      <c r="G14" s="109">
        <v>19119</v>
      </c>
      <c r="I14" s="98" t="s">
        <v>41</v>
      </c>
      <c r="J14" s="101" t="s">
        <v>158</v>
      </c>
      <c r="K14" s="151">
        <v>163</v>
      </c>
      <c r="L14" s="152">
        <v>0.88117634338847439</v>
      </c>
      <c r="M14" s="151">
        <v>-3695</v>
      </c>
      <c r="N14" s="152">
        <v>-19.800653769894431</v>
      </c>
      <c r="O14" s="151">
        <v>-697</v>
      </c>
      <c r="P14" s="152">
        <v>-4.657223038888147</v>
      </c>
      <c r="Q14" s="151">
        <v>4850</v>
      </c>
      <c r="R14" s="153">
        <v>33.989768028593453</v>
      </c>
    </row>
    <row r="15" spans="1:19">
      <c r="A15" s="110"/>
      <c r="B15" s="111"/>
      <c r="C15" s="112"/>
      <c r="D15" s="112"/>
      <c r="E15" s="112"/>
      <c r="F15" s="112"/>
      <c r="G15" s="112"/>
      <c r="H15" s="113"/>
      <c r="I15" s="31"/>
      <c r="J15" s="111"/>
      <c r="K15" s="114"/>
      <c r="L15" s="115"/>
      <c r="M15" s="114"/>
      <c r="N15" s="115"/>
      <c r="O15" s="114"/>
      <c r="P15" s="115"/>
      <c r="Q15" s="114"/>
      <c r="R15" s="115"/>
      <c r="S15" s="32"/>
    </row>
    <row r="16" spans="1:19">
      <c r="A16" s="287" t="s">
        <v>393</v>
      </c>
      <c r="B16" s="111"/>
      <c r="C16" s="112"/>
      <c r="D16" s="112"/>
      <c r="E16" s="112"/>
      <c r="F16" s="112"/>
      <c r="G16" s="112"/>
      <c r="H16" s="113"/>
      <c r="I16" s="288" t="s">
        <v>394</v>
      </c>
      <c r="J16" s="111"/>
      <c r="K16" s="114"/>
      <c r="L16" s="115"/>
      <c r="M16" s="114"/>
      <c r="N16" s="115"/>
      <c r="O16" s="114"/>
      <c r="P16" s="115"/>
      <c r="Q16" s="114"/>
      <c r="R16" s="115"/>
      <c r="S16" s="32"/>
    </row>
    <row r="17" spans="1:19" ht="15" thickBot="1">
      <c r="A17" s="286"/>
      <c r="B17" s="111"/>
      <c r="C17" s="112"/>
      <c r="D17" s="112"/>
      <c r="E17" s="112"/>
      <c r="F17" s="112"/>
      <c r="G17" s="112"/>
      <c r="H17" s="113"/>
      <c r="I17" s="31"/>
      <c r="J17" s="111"/>
      <c r="K17" s="114"/>
      <c r="L17" s="115"/>
      <c r="M17" s="114"/>
      <c r="N17" s="115"/>
      <c r="O17" s="114"/>
      <c r="P17" s="115"/>
      <c r="Q17" s="114"/>
      <c r="R17" s="115"/>
      <c r="S17" s="32"/>
    </row>
    <row r="18" spans="1:19" ht="30" customHeight="1">
      <c r="A18" s="336"/>
      <c r="B18" s="330" t="s">
        <v>251</v>
      </c>
      <c r="C18" s="330">
        <v>2002</v>
      </c>
      <c r="D18" s="330">
        <v>2003</v>
      </c>
      <c r="E18" s="330">
        <v>2004</v>
      </c>
      <c r="F18" s="330">
        <v>2005</v>
      </c>
      <c r="G18" s="334">
        <v>2006</v>
      </c>
      <c r="H18" s="113"/>
      <c r="I18" s="336"/>
      <c r="J18" s="330" t="s">
        <v>252</v>
      </c>
      <c r="K18" s="332" t="s">
        <v>279</v>
      </c>
      <c r="L18" s="332"/>
      <c r="M18" s="332" t="s">
        <v>280</v>
      </c>
      <c r="N18" s="332"/>
      <c r="O18" s="332" t="s">
        <v>281</v>
      </c>
      <c r="P18" s="332"/>
      <c r="Q18" s="332" t="s">
        <v>282</v>
      </c>
      <c r="R18" s="333"/>
      <c r="S18" s="32"/>
    </row>
    <row r="19" spans="1:19">
      <c r="A19" s="337"/>
      <c r="B19" s="331"/>
      <c r="C19" s="331"/>
      <c r="D19" s="331"/>
      <c r="E19" s="331"/>
      <c r="F19" s="331"/>
      <c r="G19" s="335"/>
      <c r="H19" s="113"/>
      <c r="I19" s="337"/>
      <c r="J19" s="331"/>
      <c r="K19" s="94" t="s">
        <v>221</v>
      </c>
      <c r="L19" s="96" t="s">
        <v>222</v>
      </c>
      <c r="M19" s="94" t="s">
        <v>221</v>
      </c>
      <c r="N19" s="96" t="s">
        <v>222</v>
      </c>
      <c r="O19" s="94" t="s">
        <v>221</v>
      </c>
      <c r="P19" s="96" t="s">
        <v>222</v>
      </c>
      <c r="Q19" s="94" t="s">
        <v>221</v>
      </c>
      <c r="R19" s="97" t="s">
        <v>222</v>
      </c>
      <c r="S19" s="32"/>
    </row>
    <row r="20" spans="1:19">
      <c r="A20" s="86"/>
      <c r="B20" s="92" t="s">
        <v>169</v>
      </c>
      <c r="C20" s="102">
        <v>152051.39500000002</v>
      </c>
      <c r="D20" s="102">
        <v>193206.505</v>
      </c>
      <c r="E20" s="102">
        <v>211869.85700000002</v>
      </c>
      <c r="F20" s="102">
        <v>220504.83600000001</v>
      </c>
      <c r="G20" s="104">
        <v>241979.72500000001</v>
      </c>
      <c r="H20" s="113"/>
      <c r="I20" s="154"/>
      <c r="J20" s="93" t="s">
        <v>169</v>
      </c>
      <c r="K20" s="147">
        <v>41155.109999999986</v>
      </c>
      <c r="L20" s="148">
        <v>27.066578376344381</v>
      </c>
      <c r="M20" s="147">
        <v>18663.352000000014</v>
      </c>
      <c r="N20" s="148">
        <v>9.6597948397234408</v>
      </c>
      <c r="O20" s="147">
        <v>8634.9789999999921</v>
      </c>
      <c r="P20" s="148">
        <v>4.0756052428920979</v>
      </c>
      <c r="Q20" s="147">
        <v>21474.888999999996</v>
      </c>
      <c r="R20" s="149">
        <v>9.7389650900899039</v>
      </c>
      <c r="S20" s="32"/>
    </row>
    <row r="21" spans="1:19">
      <c r="A21" s="143" t="s">
        <v>3</v>
      </c>
      <c r="B21" s="93" t="s">
        <v>170</v>
      </c>
      <c r="C21" s="102">
        <v>95258.395000000004</v>
      </c>
      <c r="D21" s="102">
        <v>119053.505</v>
      </c>
      <c r="E21" s="102">
        <v>134771.85700000002</v>
      </c>
      <c r="F21" s="102">
        <v>154213.83600000001</v>
      </c>
      <c r="G21" s="104">
        <v>163022.72500000001</v>
      </c>
      <c r="I21" s="143" t="s">
        <v>3</v>
      </c>
      <c r="J21" s="93" t="s">
        <v>170</v>
      </c>
      <c r="K21" s="147">
        <v>23795.11</v>
      </c>
      <c r="L21" s="148">
        <v>24.979541173247775</v>
      </c>
      <c r="M21" s="147">
        <v>15718.352000000014</v>
      </c>
      <c r="N21" s="148">
        <v>13.202762908996265</v>
      </c>
      <c r="O21" s="147">
        <v>19441.978999999992</v>
      </c>
      <c r="P21" s="148">
        <v>14.425844855725323</v>
      </c>
      <c r="Q21" s="147">
        <v>8808.8889999999956</v>
      </c>
      <c r="R21" s="149">
        <v>5.7121262452741242</v>
      </c>
    </row>
    <row r="22" spans="1:19">
      <c r="A22" s="144" t="s">
        <v>1</v>
      </c>
      <c r="B22" s="95" t="s">
        <v>171</v>
      </c>
      <c r="C22" s="102">
        <v>12000</v>
      </c>
      <c r="D22" s="102">
        <v>12000</v>
      </c>
      <c r="E22" s="102">
        <v>12000</v>
      </c>
      <c r="F22" s="102">
        <v>12000</v>
      </c>
      <c r="G22" s="104">
        <v>12000</v>
      </c>
      <c r="I22" s="144" t="s">
        <v>1</v>
      </c>
      <c r="J22" s="95" t="s">
        <v>171</v>
      </c>
      <c r="K22" s="147">
        <v>0</v>
      </c>
      <c r="L22" s="148">
        <v>0</v>
      </c>
      <c r="M22" s="147">
        <v>0</v>
      </c>
      <c r="N22" s="148">
        <v>0</v>
      </c>
      <c r="O22" s="147">
        <v>0</v>
      </c>
      <c r="P22" s="148">
        <v>0</v>
      </c>
      <c r="Q22" s="147">
        <v>0</v>
      </c>
      <c r="R22" s="149">
        <v>0</v>
      </c>
    </row>
    <row r="23" spans="1:19">
      <c r="A23" s="144" t="s">
        <v>31</v>
      </c>
      <c r="B23" s="95" t="s">
        <v>180</v>
      </c>
      <c r="C23" s="102">
        <v>1196</v>
      </c>
      <c r="D23" s="102">
        <v>1191</v>
      </c>
      <c r="E23" s="102">
        <v>1177</v>
      </c>
      <c r="F23" s="102">
        <v>1186</v>
      </c>
      <c r="G23" s="104">
        <v>1218</v>
      </c>
      <c r="I23" s="144" t="s">
        <v>31</v>
      </c>
      <c r="J23" s="95" t="s">
        <v>180</v>
      </c>
      <c r="K23" s="147">
        <v>-5</v>
      </c>
      <c r="L23" s="148">
        <v>-0.41806020066889632</v>
      </c>
      <c r="M23" s="147">
        <v>-14</v>
      </c>
      <c r="N23" s="148">
        <v>-1.1754827875734677</v>
      </c>
      <c r="O23" s="147">
        <v>9</v>
      </c>
      <c r="P23" s="148">
        <v>0.76465590484282076</v>
      </c>
      <c r="Q23" s="147">
        <v>32</v>
      </c>
      <c r="R23" s="149">
        <v>2.6981450252951094</v>
      </c>
    </row>
    <row r="24" spans="1:19">
      <c r="A24" s="144" t="s">
        <v>41</v>
      </c>
      <c r="B24" s="95" t="s">
        <v>183</v>
      </c>
      <c r="C24" s="102">
        <v>55356</v>
      </c>
      <c r="D24" s="102">
        <v>81162</v>
      </c>
      <c r="E24" s="102">
        <v>101263</v>
      </c>
      <c r="F24" s="102">
        <v>113984</v>
      </c>
      <c r="G24" s="104">
        <v>130321</v>
      </c>
      <c r="I24" s="144" t="s">
        <v>41</v>
      </c>
      <c r="J24" s="95" t="s">
        <v>183</v>
      </c>
      <c r="K24" s="147">
        <v>25806</v>
      </c>
      <c r="L24" s="148">
        <v>46.618252763928034</v>
      </c>
      <c r="M24" s="147">
        <v>20101</v>
      </c>
      <c r="N24" s="148">
        <v>24.766516350016019</v>
      </c>
      <c r="O24" s="147">
        <v>12721</v>
      </c>
      <c r="P24" s="148">
        <v>12.562337675162697</v>
      </c>
      <c r="Q24" s="147">
        <v>16337</v>
      </c>
      <c r="R24" s="149">
        <v>14.332713363279057</v>
      </c>
    </row>
    <row r="25" spans="1:19">
      <c r="A25" s="144" t="s">
        <v>45</v>
      </c>
      <c r="B25" s="95" t="s">
        <v>186</v>
      </c>
      <c r="C25" s="102">
        <v>26706.395000000004</v>
      </c>
      <c r="D25" s="102">
        <v>24700.505000000005</v>
      </c>
      <c r="E25" s="102">
        <v>20331.857000000004</v>
      </c>
      <c r="F25" s="102">
        <v>27043.835999999996</v>
      </c>
      <c r="G25" s="104">
        <v>19483.725000000006</v>
      </c>
      <c r="I25" s="144" t="s">
        <v>45</v>
      </c>
      <c r="J25" s="95" t="s">
        <v>186</v>
      </c>
      <c r="K25" s="147">
        <v>-2005.8899999999994</v>
      </c>
      <c r="L25" s="148">
        <v>-7.5108976707638719</v>
      </c>
      <c r="M25" s="147">
        <v>-4368.648000000001</v>
      </c>
      <c r="N25" s="148">
        <v>-17.686472402082469</v>
      </c>
      <c r="O25" s="147">
        <v>6711.9789999999921</v>
      </c>
      <c r="P25" s="148">
        <v>33.012129683973242</v>
      </c>
      <c r="Q25" s="147">
        <v>-7560.1109999999899</v>
      </c>
      <c r="R25" s="149">
        <v>-27.955024575655578</v>
      </c>
    </row>
    <row r="26" spans="1:19">
      <c r="A26" s="143" t="s">
        <v>15</v>
      </c>
      <c r="B26" s="93" t="s">
        <v>187</v>
      </c>
      <c r="C26" s="102">
        <v>56077</v>
      </c>
      <c r="D26" s="102">
        <v>73764</v>
      </c>
      <c r="E26" s="102">
        <v>76689</v>
      </c>
      <c r="F26" s="102">
        <v>65287</v>
      </c>
      <c r="G26" s="104">
        <v>78557</v>
      </c>
      <c r="I26" s="143" t="s">
        <v>15</v>
      </c>
      <c r="J26" s="93" t="s">
        <v>187</v>
      </c>
      <c r="K26" s="147">
        <v>17687</v>
      </c>
      <c r="L26" s="148">
        <v>31.540560301014676</v>
      </c>
      <c r="M26" s="147">
        <v>2925</v>
      </c>
      <c r="N26" s="148">
        <v>3.9653489507076625</v>
      </c>
      <c r="O26" s="147">
        <v>-11402</v>
      </c>
      <c r="P26" s="148">
        <v>-14.867842845779707</v>
      </c>
      <c r="Q26" s="147">
        <v>13270</v>
      </c>
      <c r="R26" s="149">
        <v>20.325639101199318</v>
      </c>
    </row>
    <row r="27" spans="1:19">
      <c r="A27" s="144" t="s">
        <v>1</v>
      </c>
      <c r="B27" s="95" t="s">
        <v>188</v>
      </c>
      <c r="C27" s="102">
        <v>1455</v>
      </c>
      <c r="D27" s="102">
        <v>1112</v>
      </c>
      <c r="E27" s="102">
        <v>985</v>
      </c>
      <c r="F27" s="102">
        <v>845</v>
      </c>
      <c r="G27" s="104">
        <v>716</v>
      </c>
      <c r="I27" s="144" t="s">
        <v>1</v>
      </c>
      <c r="J27" s="95" t="s">
        <v>188</v>
      </c>
      <c r="K27" s="147">
        <v>-343</v>
      </c>
      <c r="L27" s="148">
        <v>-23.573883161512025</v>
      </c>
      <c r="M27" s="147">
        <v>-127</v>
      </c>
      <c r="N27" s="148">
        <v>-11.420863309352518</v>
      </c>
      <c r="O27" s="147">
        <v>-140</v>
      </c>
      <c r="P27" s="148">
        <v>-14.213197969543149</v>
      </c>
      <c r="Q27" s="147">
        <v>-129</v>
      </c>
      <c r="R27" s="149">
        <v>-15.266272189349111</v>
      </c>
    </row>
    <row r="28" spans="1:19">
      <c r="A28" s="144" t="s">
        <v>7</v>
      </c>
      <c r="B28" s="95" t="s">
        <v>193</v>
      </c>
      <c r="C28" s="102">
        <v>3235</v>
      </c>
      <c r="D28" s="102">
        <v>4428</v>
      </c>
      <c r="E28" s="102">
        <v>4949</v>
      </c>
      <c r="F28" s="102">
        <v>5739</v>
      </c>
      <c r="G28" s="104">
        <v>6574</v>
      </c>
      <c r="I28" s="144" t="s">
        <v>7</v>
      </c>
      <c r="J28" s="95" t="s">
        <v>193</v>
      </c>
      <c r="K28" s="147">
        <v>1193</v>
      </c>
      <c r="L28" s="148">
        <v>36.877897990726424</v>
      </c>
      <c r="M28" s="147">
        <v>521</v>
      </c>
      <c r="N28" s="148">
        <v>11.766034327009937</v>
      </c>
      <c r="O28" s="147">
        <v>790</v>
      </c>
      <c r="P28" s="148">
        <v>15.962820771873107</v>
      </c>
      <c r="Q28" s="147">
        <v>835</v>
      </c>
      <c r="R28" s="149">
        <v>14.549573096358252</v>
      </c>
    </row>
    <row r="29" spans="1:19">
      <c r="A29" s="144" t="s">
        <v>203</v>
      </c>
      <c r="B29" s="75" t="s">
        <v>204</v>
      </c>
      <c r="C29" s="103">
        <v>3235</v>
      </c>
      <c r="D29" s="103">
        <v>4428</v>
      </c>
      <c r="E29" s="103">
        <v>4949</v>
      </c>
      <c r="F29" s="103">
        <v>5739</v>
      </c>
      <c r="G29" s="105">
        <v>6574</v>
      </c>
      <c r="I29" s="144" t="s">
        <v>203</v>
      </c>
      <c r="J29" s="75" t="s">
        <v>204</v>
      </c>
      <c r="K29" s="147">
        <v>1193</v>
      </c>
      <c r="L29" s="148">
        <v>36.877897990726424</v>
      </c>
      <c r="M29" s="147">
        <v>521</v>
      </c>
      <c r="N29" s="148">
        <v>11.766034327009937</v>
      </c>
      <c r="O29" s="147">
        <v>790</v>
      </c>
      <c r="P29" s="148">
        <v>15.962820771873107</v>
      </c>
      <c r="Q29" s="147">
        <v>835</v>
      </c>
      <c r="R29" s="149">
        <v>14.549573096358252</v>
      </c>
    </row>
    <row r="30" spans="1:19">
      <c r="A30" s="144" t="s">
        <v>31</v>
      </c>
      <c r="B30" s="95" t="s">
        <v>205</v>
      </c>
      <c r="C30" s="102">
        <v>24827</v>
      </c>
      <c r="D30" s="102">
        <v>23242</v>
      </c>
      <c r="E30" s="102">
        <v>28193</v>
      </c>
      <c r="F30" s="102">
        <v>29162</v>
      </c>
      <c r="G30" s="104">
        <v>30189</v>
      </c>
      <c r="I30" s="144" t="s">
        <v>31</v>
      </c>
      <c r="J30" s="95" t="s">
        <v>205</v>
      </c>
      <c r="K30" s="147">
        <v>-1585</v>
      </c>
      <c r="L30" s="148">
        <v>-6.3841785153260568</v>
      </c>
      <c r="M30" s="147">
        <v>4951</v>
      </c>
      <c r="N30" s="148">
        <v>21.301953360296018</v>
      </c>
      <c r="O30" s="147">
        <v>969</v>
      </c>
      <c r="P30" s="148">
        <v>3.4370233745965311</v>
      </c>
      <c r="Q30" s="147">
        <v>1027</v>
      </c>
      <c r="R30" s="149">
        <v>3.5217063301556819</v>
      </c>
    </row>
    <row r="31" spans="1:19">
      <c r="A31" s="144" t="s">
        <v>9</v>
      </c>
      <c r="B31" s="75" t="s">
        <v>194</v>
      </c>
      <c r="C31" s="103">
        <v>14233</v>
      </c>
      <c r="D31" s="103">
        <v>16328</v>
      </c>
      <c r="E31" s="103">
        <v>17414</v>
      </c>
      <c r="F31" s="103">
        <v>15328</v>
      </c>
      <c r="G31" s="105">
        <v>18245</v>
      </c>
      <c r="I31" s="144" t="s">
        <v>9</v>
      </c>
      <c r="J31" s="75" t="s">
        <v>194</v>
      </c>
      <c r="K31" s="147">
        <v>2095</v>
      </c>
      <c r="L31" s="148">
        <v>14.719314269655026</v>
      </c>
      <c r="M31" s="147">
        <v>1086</v>
      </c>
      <c r="N31" s="148">
        <v>6.6511513963743258</v>
      </c>
      <c r="O31" s="147">
        <v>-2086</v>
      </c>
      <c r="P31" s="148">
        <v>-11.978867577810956</v>
      </c>
      <c r="Q31" s="147">
        <v>2917</v>
      </c>
      <c r="R31" s="149">
        <v>19.03053235908142</v>
      </c>
    </row>
    <row r="32" spans="1:19">
      <c r="A32" s="144" t="s">
        <v>41</v>
      </c>
      <c r="B32" s="95" t="s">
        <v>212</v>
      </c>
      <c r="C32" s="102">
        <v>26560</v>
      </c>
      <c r="D32" s="102">
        <v>44982</v>
      </c>
      <c r="E32" s="102">
        <v>42562</v>
      </c>
      <c r="F32" s="102">
        <v>29541</v>
      </c>
      <c r="G32" s="104">
        <v>41078</v>
      </c>
      <c r="I32" s="144" t="s">
        <v>41</v>
      </c>
      <c r="J32" s="95" t="s">
        <v>212</v>
      </c>
      <c r="K32" s="147">
        <v>18422</v>
      </c>
      <c r="L32" s="148">
        <v>69.359939759036152</v>
      </c>
      <c r="M32" s="147">
        <v>-2420</v>
      </c>
      <c r="N32" s="148">
        <v>-5.3799297496776495</v>
      </c>
      <c r="O32" s="147">
        <v>-13021</v>
      </c>
      <c r="P32" s="148">
        <v>-30.593017245430197</v>
      </c>
      <c r="Q32" s="147">
        <v>11537</v>
      </c>
      <c r="R32" s="149">
        <v>39.054195863376322</v>
      </c>
    </row>
    <row r="33" spans="1:18">
      <c r="A33" s="144" t="s">
        <v>9</v>
      </c>
      <c r="B33" s="75" t="s">
        <v>213</v>
      </c>
      <c r="C33" s="103">
        <v>4835</v>
      </c>
      <c r="D33" s="103">
        <v>15235</v>
      </c>
      <c r="E33" s="103">
        <v>18206</v>
      </c>
      <c r="F33" s="103">
        <v>10183</v>
      </c>
      <c r="G33" s="105">
        <v>18932</v>
      </c>
      <c r="I33" s="144" t="s">
        <v>9</v>
      </c>
      <c r="J33" s="75" t="s">
        <v>213</v>
      </c>
      <c r="K33" s="147">
        <v>10400</v>
      </c>
      <c r="L33" s="148">
        <v>215.09824198552226</v>
      </c>
      <c r="M33" s="147">
        <v>2971</v>
      </c>
      <c r="N33" s="148">
        <v>19.501148670823763</v>
      </c>
      <c r="O33" s="147">
        <v>-8023</v>
      </c>
      <c r="P33" s="148">
        <v>-44.067889706690103</v>
      </c>
      <c r="Q33" s="147">
        <v>8749</v>
      </c>
      <c r="R33" s="149">
        <v>85.917705980555823</v>
      </c>
    </row>
    <row r="34" spans="1:18" ht="15" thickBot="1">
      <c r="A34" s="98" t="s">
        <v>11</v>
      </c>
      <c r="B34" s="99" t="s">
        <v>214</v>
      </c>
      <c r="C34" s="106">
        <v>21725</v>
      </c>
      <c r="D34" s="106">
        <v>29747</v>
      </c>
      <c r="E34" s="106">
        <v>24356</v>
      </c>
      <c r="F34" s="106">
        <v>19358</v>
      </c>
      <c r="G34" s="107">
        <v>22146</v>
      </c>
      <c r="I34" s="98" t="s">
        <v>11</v>
      </c>
      <c r="J34" s="99" t="s">
        <v>214</v>
      </c>
      <c r="K34" s="151">
        <v>8022</v>
      </c>
      <c r="L34" s="152">
        <v>36.925201380897583</v>
      </c>
      <c r="M34" s="151">
        <v>-5391</v>
      </c>
      <c r="N34" s="152">
        <v>-18.122835916226844</v>
      </c>
      <c r="O34" s="151">
        <v>-4998</v>
      </c>
      <c r="P34" s="152">
        <v>-20.520610937756611</v>
      </c>
      <c r="Q34" s="151">
        <v>2788</v>
      </c>
      <c r="R34" s="153">
        <v>14.402314288666185</v>
      </c>
    </row>
  </sheetData>
  <mergeCells count="26">
    <mergeCell ref="I18:I19"/>
    <mergeCell ref="Q3:R3"/>
    <mergeCell ref="A18:A19"/>
    <mergeCell ref="B18:B19"/>
    <mergeCell ref="G3:G4"/>
    <mergeCell ref="I3:I4"/>
    <mergeCell ref="J3:J4"/>
    <mergeCell ref="K3:L3"/>
    <mergeCell ref="M3:N3"/>
    <mergeCell ref="O3:P3"/>
    <mergeCell ref="A3:A4"/>
    <mergeCell ref="B3:B4"/>
    <mergeCell ref="C3:C4"/>
    <mergeCell ref="D3:D4"/>
    <mergeCell ref="E3:E4"/>
    <mergeCell ref="F3:F4"/>
    <mergeCell ref="C18:C19"/>
    <mergeCell ref="D18:D19"/>
    <mergeCell ref="E18:E19"/>
    <mergeCell ref="F18:F19"/>
    <mergeCell ref="G18:G19"/>
    <mergeCell ref="J18:J19"/>
    <mergeCell ref="K18:L18"/>
    <mergeCell ref="M18:N18"/>
    <mergeCell ref="O18:P18"/>
    <mergeCell ref="Q18:R18"/>
  </mergeCells>
  <pageMargins left="0.7" right="0.7" top="0.78740157499999996" bottom="0.78740157499999996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67"/>
  <sheetViews>
    <sheetView workbookViewId="0">
      <selection activeCell="R62" sqref="R62"/>
    </sheetView>
  </sheetViews>
  <sheetFormatPr baseColWidth="10" defaultColWidth="8.83203125" defaultRowHeight="14" x14ac:dyDescent="0"/>
  <cols>
    <col min="3" max="3" width="58.6640625" bestFit="1" customWidth="1"/>
    <col min="4" max="7" width="9.1640625" customWidth="1"/>
  </cols>
  <sheetData>
    <row r="1" spans="2:16">
      <c r="B1" s="16" t="s">
        <v>277</v>
      </c>
    </row>
    <row r="2" spans="2:16" ht="15" thickBot="1"/>
    <row r="3" spans="2:16" ht="15" thickBot="1">
      <c r="B3" s="1" t="s">
        <v>0</v>
      </c>
      <c r="C3" s="2"/>
      <c r="D3" s="324">
        <v>2002</v>
      </c>
      <c r="E3" s="324">
        <v>2003</v>
      </c>
      <c r="F3" s="326" t="s">
        <v>223</v>
      </c>
      <c r="G3" s="327"/>
      <c r="H3" s="324">
        <v>2004</v>
      </c>
      <c r="I3" s="326" t="s">
        <v>220</v>
      </c>
      <c r="J3" s="327"/>
      <c r="K3" s="3">
        <v>2005</v>
      </c>
      <c r="L3" s="326" t="s">
        <v>224</v>
      </c>
      <c r="M3" s="327"/>
      <c r="N3" s="3">
        <v>2006</v>
      </c>
      <c r="O3" s="326" t="s">
        <v>225</v>
      </c>
      <c r="P3" s="327"/>
    </row>
    <row r="4" spans="2:16" ht="15" thickBot="1">
      <c r="B4" s="15"/>
      <c r="C4" s="18"/>
      <c r="D4" s="325"/>
      <c r="E4" s="325"/>
      <c r="F4" s="26" t="s">
        <v>221</v>
      </c>
      <c r="G4" s="26" t="s">
        <v>222</v>
      </c>
      <c r="H4" s="325"/>
      <c r="I4" s="26" t="s">
        <v>221</v>
      </c>
      <c r="J4" s="26" t="s">
        <v>222</v>
      </c>
      <c r="K4" s="25"/>
      <c r="L4" s="26" t="s">
        <v>221</v>
      </c>
      <c r="M4" s="26" t="s">
        <v>222</v>
      </c>
      <c r="N4" s="25"/>
      <c r="O4" s="26" t="s">
        <v>221</v>
      </c>
      <c r="P4" s="26" t="s">
        <v>222</v>
      </c>
    </row>
    <row r="5" spans="2:16" ht="15" thickBot="1">
      <c r="B5" s="9" t="s">
        <v>1</v>
      </c>
      <c r="C5" s="5" t="s">
        <v>2</v>
      </c>
      <c r="D5" s="132">
        <v>43321</v>
      </c>
      <c r="E5" s="132">
        <v>37245</v>
      </c>
      <c r="F5" s="27">
        <f>E5-D5</f>
        <v>-6076</v>
      </c>
      <c r="G5" s="28">
        <f>(E5-D5)/ABS(D5)*100</f>
        <v>-14.025530343251541</v>
      </c>
      <c r="H5" s="132">
        <v>42932</v>
      </c>
      <c r="I5" s="27">
        <f>H5-E5</f>
        <v>5687</v>
      </c>
      <c r="J5" s="28">
        <f>(H5-E5)/ABS(E5)*100</f>
        <v>15.269163646126996</v>
      </c>
      <c r="K5" s="132">
        <v>41156</v>
      </c>
      <c r="L5" s="27">
        <f>K5-H5</f>
        <v>-1776</v>
      </c>
      <c r="M5" s="28">
        <f>(K5-H5)/ABS(H5)*100</f>
        <v>-4.1367744339886334</v>
      </c>
      <c r="N5" s="132">
        <v>44963</v>
      </c>
      <c r="O5" s="27">
        <f>N5-K5</f>
        <v>3807</v>
      </c>
      <c r="P5" s="29">
        <f>(N5-K5)/ABS(K5)*100</f>
        <v>9.2501700845563217</v>
      </c>
    </row>
    <row r="6" spans="2:16" ht="15" thickBot="1">
      <c r="B6" s="9" t="s">
        <v>3</v>
      </c>
      <c r="C6" s="5" t="s">
        <v>4</v>
      </c>
      <c r="D6" s="132">
        <v>36025</v>
      </c>
      <c r="E6" s="132">
        <v>25163</v>
      </c>
      <c r="F6" s="27">
        <f t="shared" ref="F6:F65" si="0">E6-D6</f>
        <v>-10862</v>
      </c>
      <c r="G6" s="28">
        <f t="shared" ref="G6:G65" si="1">(E6-D6)/ABS(D6)*100</f>
        <v>-30.151283830673144</v>
      </c>
      <c r="H6" s="132">
        <v>28142</v>
      </c>
      <c r="I6" s="27">
        <f t="shared" ref="I6:I65" si="2">H6-E6</f>
        <v>2979</v>
      </c>
      <c r="J6" s="28">
        <f t="shared" ref="J6:J65" si="3">(H6-E6)/ABS(E6)*100</f>
        <v>11.838810952589117</v>
      </c>
      <c r="K6" s="132">
        <v>26458</v>
      </c>
      <c r="L6" s="27">
        <f t="shared" ref="L6:L65" si="4">K6-H6</f>
        <v>-1684</v>
      </c>
      <c r="M6" s="28">
        <f t="shared" ref="M6:M65" si="5">(K6-H6)/ABS(H6)*100</f>
        <v>-5.9839385971146335</v>
      </c>
      <c r="N6" s="132">
        <v>29933</v>
      </c>
      <c r="O6" s="27">
        <f t="shared" ref="O6:O65" si="6">N6-K6</f>
        <v>3475</v>
      </c>
      <c r="P6" s="29">
        <f t="shared" ref="P6:P65" si="7">(N6-K6)/ABS(K6)*100</f>
        <v>13.134023735732104</v>
      </c>
    </row>
    <row r="7" spans="2:16" ht="15" thickBot="1">
      <c r="B7" s="9" t="s">
        <v>5</v>
      </c>
      <c r="C7" s="5" t="s">
        <v>6</v>
      </c>
      <c r="D7" s="133">
        <f>D5-D6</f>
        <v>7296</v>
      </c>
      <c r="E7" s="133">
        <f t="shared" ref="E7" si="8">E5-E6</f>
        <v>12082</v>
      </c>
      <c r="F7" s="30">
        <f t="shared" si="0"/>
        <v>4786</v>
      </c>
      <c r="G7" s="28">
        <f t="shared" si="1"/>
        <v>65.597587719298247</v>
      </c>
      <c r="H7" s="133">
        <f t="shared" ref="H7" si="9">H5-H6</f>
        <v>14790</v>
      </c>
      <c r="I7" s="30">
        <f t="shared" si="2"/>
        <v>2708</v>
      </c>
      <c r="J7" s="28">
        <f t="shared" si="3"/>
        <v>22.413507697401091</v>
      </c>
      <c r="K7" s="133">
        <f t="shared" ref="K7" si="10">K5-K6</f>
        <v>14698</v>
      </c>
      <c r="L7" s="30">
        <f t="shared" si="4"/>
        <v>-92</v>
      </c>
      <c r="M7" s="28">
        <f t="shared" si="5"/>
        <v>-0.6220419202163624</v>
      </c>
      <c r="N7" s="133">
        <f t="shared" ref="N7" si="11">N5-N6</f>
        <v>15030</v>
      </c>
      <c r="O7" s="30">
        <f t="shared" si="6"/>
        <v>332</v>
      </c>
      <c r="P7" s="29">
        <f t="shared" si="7"/>
        <v>2.2588107225472851</v>
      </c>
    </row>
    <row r="8" spans="2:16" ht="15" thickBot="1">
      <c r="B8" s="9" t="s">
        <v>7</v>
      </c>
      <c r="C8" s="5" t="s">
        <v>8</v>
      </c>
      <c r="D8" s="133">
        <f>SUM(D9:D11)</f>
        <v>224907</v>
      </c>
      <c r="E8" s="133">
        <f t="shared" ref="E8" si="12">SUM(E9:E11)</f>
        <v>233843</v>
      </c>
      <c r="F8" s="27">
        <f t="shared" si="0"/>
        <v>8936</v>
      </c>
      <c r="G8" s="28">
        <f t="shared" si="1"/>
        <v>3.9731978106506243</v>
      </c>
      <c r="H8" s="133">
        <f t="shared" ref="H8" si="13">SUM(H9:H11)</f>
        <v>260125</v>
      </c>
      <c r="I8" s="27">
        <f t="shared" si="2"/>
        <v>26282</v>
      </c>
      <c r="J8" s="28">
        <f t="shared" si="3"/>
        <v>11.239164738734964</v>
      </c>
      <c r="K8" s="133">
        <f t="shared" ref="K8" si="14">SUM(K9:K11)</f>
        <v>278525</v>
      </c>
      <c r="L8" s="27">
        <f t="shared" si="4"/>
        <v>18400</v>
      </c>
      <c r="M8" s="28">
        <f t="shared" si="5"/>
        <v>7.0735223450264302</v>
      </c>
      <c r="N8" s="133">
        <f t="shared" ref="N8" si="15">SUM(N9:N11)</f>
        <v>263231</v>
      </c>
      <c r="O8" s="27">
        <f t="shared" si="6"/>
        <v>-15294</v>
      </c>
      <c r="P8" s="29">
        <f t="shared" si="7"/>
        <v>-5.4910690243245668</v>
      </c>
    </row>
    <row r="9" spans="2:16" ht="15" thickBot="1">
      <c r="B9" s="9" t="s">
        <v>9</v>
      </c>
      <c r="C9" s="5" t="s">
        <v>10</v>
      </c>
      <c r="D9" s="132">
        <v>223842</v>
      </c>
      <c r="E9" s="132">
        <v>232625</v>
      </c>
      <c r="F9" s="27">
        <f t="shared" si="0"/>
        <v>8783</v>
      </c>
      <c r="G9" s="28">
        <f t="shared" si="1"/>
        <v>3.9237497877967495</v>
      </c>
      <c r="H9" s="132">
        <v>253348</v>
      </c>
      <c r="I9" s="27">
        <f t="shared" si="2"/>
        <v>20723</v>
      </c>
      <c r="J9" s="28">
        <f t="shared" si="3"/>
        <v>8.9083288554540569</v>
      </c>
      <c r="K9" s="132">
        <v>273245</v>
      </c>
      <c r="L9" s="27">
        <f t="shared" si="4"/>
        <v>19897</v>
      </c>
      <c r="M9" s="28">
        <f t="shared" si="5"/>
        <v>7.853624263858408</v>
      </c>
      <c r="N9" s="132">
        <v>263895</v>
      </c>
      <c r="O9" s="27">
        <f t="shared" si="6"/>
        <v>-9350</v>
      </c>
      <c r="P9" s="29">
        <f t="shared" si="7"/>
        <v>-3.4218375450602938</v>
      </c>
    </row>
    <row r="10" spans="2:16" ht="15" thickBot="1">
      <c r="B10" s="9" t="s">
        <v>11</v>
      </c>
      <c r="C10" s="5" t="s">
        <v>12</v>
      </c>
      <c r="D10" s="132">
        <v>420</v>
      </c>
      <c r="E10" s="134">
        <v>235</v>
      </c>
      <c r="F10" s="27">
        <f t="shared" si="0"/>
        <v>-185</v>
      </c>
      <c r="G10" s="28">
        <f t="shared" si="1"/>
        <v>-44.047619047619044</v>
      </c>
      <c r="H10" s="134">
        <v>5723</v>
      </c>
      <c r="I10" s="27">
        <f t="shared" si="2"/>
        <v>5488</v>
      </c>
      <c r="J10" s="28">
        <f t="shared" si="3"/>
        <v>2335.3191489361702</v>
      </c>
      <c r="K10" s="134">
        <v>3942</v>
      </c>
      <c r="L10" s="27">
        <f t="shared" si="4"/>
        <v>-1781</v>
      </c>
      <c r="M10" s="28">
        <f t="shared" si="5"/>
        <v>-31.120041936047528</v>
      </c>
      <c r="N10" s="134">
        <v>-1563</v>
      </c>
      <c r="O10" s="27">
        <f t="shared" si="6"/>
        <v>-5505</v>
      </c>
      <c r="P10" s="29">
        <f t="shared" si="7"/>
        <v>-139.64992389649925</v>
      </c>
    </row>
    <row r="11" spans="2:16" ht="15" thickBot="1">
      <c r="B11" s="9" t="s">
        <v>13</v>
      </c>
      <c r="C11" s="5" t="s">
        <v>14</v>
      </c>
      <c r="D11" s="132">
        <v>645</v>
      </c>
      <c r="E11" s="134">
        <v>983</v>
      </c>
      <c r="F11" s="27">
        <f t="shared" si="0"/>
        <v>338</v>
      </c>
      <c r="G11" s="28">
        <f t="shared" si="1"/>
        <v>52.403100775193799</v>
      </c>
      <c r="H11" s="134">
        <v>1054</v>
      </c>
      <c r="I11" s="27">
        <f t="shared" si="2"/>
        <v>71</v>
      </c>
      <c r="J11" s="28">
        <f t="shared" si="3"/>
        <v>7.222787385554426</v>
      </c>
      <c r="K11" s="134">
        <v>1338</v>
      </c>
      <c r="L11" s="27">
        <f t="shared" si="4"/>
        <v>284</v>
      </c>
      <c r="M11" s="28">
        <f t="shared" si="5"/>
        <v>26.944971537001898</v>
      </c>
      <c r="N11" s="134">
        <v>899</v>
      </c>
      <c r="O11" s="27">
        <f t="shared" si="6"/>
        <v>-439</v>
      </c>
      <c r="P11" s="29">
        <f t="shared" si="7"/>
        <v>-32.810164424514198</v>
      </c>
    </row>
    <row r="12" spans="2:16" ht="15" thickBot="1">
      <c r="B12" s="9" t="s">
        <v>15</v>
      </c>
      <c r="C12" s="5" t="s">
        <v>16</v>
      </c>
      <c r="D12" s="133">
        <f>SUM(D13:D14)</f>
        <v>133900</v>
      </c>
      <c r="E12" s="133">
        <f t="shared" ref="E12" si="16">SUM(E13:E14)</f>
        <v>139788</v>
      </c>
      <c r="F12" s="30">
        <f t="shared" si="0"/>
        <v>5888</v>
      </c>
      <c r="G12" s="28">
        <f t="shared" si="1"/>
        <v>4.3973114264376401</v>
      </c>
      <c r="H12" s="133">
        <f t="shared" ref="H12" si="17">SUM(H13:H14)</f>
        <v>159790</v>
      </c>
      <c r="I12" s="30">
        <f t="shared" si="2"/>
        <v>20002</v>
      </c>
      <c r="J12" s="28">
        <f t="shared" si="3"/>
        <v>14.308810484447879</v>
      </c>
      <c r="K12" s="133">
        <f t="shared" ref="K12" si="18">SUM(K13:K14)</f>
        <v>158259</v>
      </c>
      <c r="L12" s="30">
        <f t="shared" si="4"/>
        <v>-1531</v>
      </c>
      <c r="M12" s="28">
        <f t="shared" si="5"/>
        <v>-0.9581325489705238</v>
      </c>
      <c r="N12" s="133">
        <f t="shared" ref="N12" si="19">SUM(N13:N14)</f>
        <v>151370</v>
      </c>
      <c r="O12" s="30">
        <f t="shared" si="6"/>
        <v>-6889</v>
      </c>
      <c r="P12" s="29">
        <f t="shared" si="7"/>
        <v>-4.35299098313524</v>
      </c>
    </row>
    <row r="13" spans="2:16" ht="15" thickBot="1">
      <c r="B13" s="9" t="s">
        <v>9</v>
      </c>
      <c r="C13" s="5" t="s">
        <v>17</v>
      </c>
      <c r="D13" s="132">
        <v>84935</v>
      </c>
      <c r="E13" s="132">
        <v>95843</v>
      </c>
      <c r="F13" s="27">
        <f t="shared" si="0"/>
        <v>10908</v>
      </c>
      <c r="G13" s="28">
        <f t="shared" si="1"/>
        <v>12.842762112203449</v>
      </c>
      <c r="H13" s="132">
        <v>106945</v>
      </c>
      <c r="I13" s="27">
        <f t="shared" si="2"/>
        <v>11102</v>
      </c>
      <c r="J13" s="28">
        <f t="shared" si="3"/>
        <v>11.583527226818861</v>
      </c>
      <c r="K13" s="132">
        <v>101328</v>
      </c>
      <c r="L13" s="27">
        <f t="shared" si="4"/>
        <v>-5617</v>
      </c>
      <c r="M13" s="28">
        <f t="shared" si="5"/>
        <v>-5.2522324559352942</v>
      </c>
      <c r="N13" s="132">
        <v>95045</v>
      </c>
      <c r="O13" s="27">
        <f t="shared" si="6"/>
        <v>-6283</v>
      </c>
      <c r="P13" s="29">
        <f t="shared" si="7"/>
        <v>-6.200655297647244</v>
      </c>
    </row>
    <row r="14" spans="2:16" ht="15" thickBot="1">
      <c r="B14" s="9" t="s">
        <v>11</v>
      </c>
      <c r="C14" s="5" t="s">
        <v>18</v>
      </c>
      <c r="D14" s="132">
        <v>48965</v>
      </c>
      <c r="E14" s="132">
        <v>43945</v>
      </c>
      <c r="F14" s="27">
        <f t="shared" si="0"/>
        <v>-5020</v>
      </c>
      <c r="G14" s="28">
        <f t="shared" si="1"/>
        <v>-10.252220974165221</v>
      </c>
      <c r="H14" s="132">
        <v>52845</v>
      </c>
      <c r="I14" s="27">
        <f t="shared" si="2"/>
        <v>8900</v>
      </c>
      <c r="J14" s="28">
        <f t="shared" si="3"/>
        <v>20.252588462851293</v>
      </c>
      <c r="K14" s="132">
        <v>56931</v>
      </c>
      <c r="L14" s="27">
        <f t="shared" si="4"/>
        <v>4086</v>
      </c>
      <c r="M14" s="28">
        <f t="shared" si="5"/>
        <v>7.7320465512347436</v>
      </c>
      <c r="N14" s="132">
        <v>56325</v>
      </c>
      <c r="O14" s="27">
        <f t="shared" si="6"/>
        <v>-606</v>
      </c>
      <c r="P14" s="29">
        <f t="shared" si="7"/>
        <v>-1.0644464351583496</v>
      </c>
    </row>
    <row r="15" spans="2:16" ht="15" thickBot="1">
      <c r="B15" s="9" t="s">
        <v>5</v>
      </c>
      <c r="C15" s="5" t="s">
        <v>19</v>
      </c>
      <c r="D15" s="133">
        <f>D7+D8-D12</f>
        <v>98303</v>
      </c>
      <c r="E15" s="133">
        <f t="shared" ref="E15" si="20">E7+E8-E12</f>
        <v>106137</v>
      </c>
      <c r="F15" s="30">
        <f t="shared" si="0"/>
        <v>7834</v>
      </c>
      <c r="G15" s="28">
        <f t="shared" si="1"/>
        <v>7.9692379683224317</v>
      </c>
      <c r="H15" s="133">
        <f t="shared" ref="H15" si="21">H7+H8-H12</f>
        <v>115125</v>
      </c>
      <c r="I15" s="30">
        <f t="shared" si="2"/>
        <v>8988</v>
      </c>
      <c r="J15" s="28">
        <f t="shared" si="3"/>
        <v>8.4683004041945793</v>
      </c>
      <c r="K15" s="133">
        <f t="shared" ref="K15" si="22">K7+K8-K12</f>
        <v>134964</v>
      </c>
      <c r="L15" s="30">
        <f t="shared" si="4"/>
        <v>19839</v>
      </c>
      <c r="M15" s="28">
        <f t="shared" si="5"/>
        <v>17.23257328990228</v>
      </c>
      <c r="N15" s="133">
        <f t="shared" ref="N15" si="23">N7+N8-N12</f>
        <v>126891</v>
      </c>
      <c r="O15" s="30">
        <f t="shared" si="6"/>
        <v>-8073</v>
      </c>
      <c r="P15" s="29">
        <f t="shared" si="7"/>
        <v>-5.9815950920245404</v>
      </c>
    </row>
    <row r="16" spans="2:16" ht="15" thickBot="1">
      <c r="B16" s="9" t="s">
        <v>20</v>
      </c>
      <c r="C16" s="5" t="s">
        <v>21</v>
      </c>
      <c r="D16" s="133">
        <f>SUM(D17:D20)</f>
        <v>53818.604999999996</v>
      </c>
      <c r="E16" s="133">
        <f>SUM(E17:E20)</f>
        <v>60111.495000000003</v>
      </c>
      <c r="F16" s="27">
        <f t="shared" si="0"/>
        <v>6292.8900000000067</v>
      </c>
      <c r="G16" s="28">
        <f t="shared" si="1"/>
        <v>11.692777990064974</v>
      </c>
      <c r="H16" s="133">
        <f t="shared" ref="H16" si="24">SUM(H17:H20)</f>
        <v>68458.142999999996</v>
      </c>
      <c r="I16" s="27">
        <f t="shared" si="2"/>
        <v>8346.6479999999938</v>
      </c>
      <c r="J16" s="28">
        <f t="shared" si="3"/>
        <v>13.885277682746025</v>
      </c>
      <c r="K16" s="133">
        <f t="shared" ref="K16" si="25">SUM(K17:K20)</f>
        <v>78262.164000000004</v>
      </c>
      <c r="L16" s="27">
        <f t="shared" si="4"/>
        <v>9804.0210000000079</v>
      </c>
      <c r="M16" s="28">
        <f t="shared" si="5"/>
        <v>14.321190395129484</v>
      </c>
      <c r="N16" s="133">
        <f t="shared" ref="N16" si="26">SUM(N17:N20)</f>
        <v>83665.274999999994</v>
      </c>
      <c r="O16" s="27">
        <f t="shared" si="6"/>
        <v>5403.1109999999899</v>
      </c>
      <c r="P16" s="29">
        <f t="shared" si="7"/>
        <v>6.9038609768060963</v>
      </c>
    </row>
    <row r="17" spans="2:16" ht="15" thickBot="1">
      <c r="B17" s="9" t="s">
        <v>9</v>
      </c>
      <c r="C17" s="5" t="s">
        <v>22</v>
      </c>
      <c r="D17" s="132">
        <v>39255</v>
      </c>
      <c r="E17" s="132">
        <v>43845</v>
      </c>
      <c r="F17" s="27">
        <f t="shared" si="0"/>
        <v>4590</v>
      </c>
      <c r="G17" s="28">
        <f t="shared" si="1"/>
        <v>11.692777990064959</v>
      </c>
      <c r="H17" s="132">
        <v>49933</v>
      </c>
      <c r="I17" s="27">
        <f t="shared" si="2"/>
        <v>6088</v>
      </c>
      <c r="J17" s="28">
        <f t="shared" si="3"/>
        <v>13.885277682746036</v>
      </c>
      <c r="K17" s="132">
        <f>56984+100</f>
        <v>57084</v>
      </c>
      <c r="L17" s="27">
        <f t="shared" si="4"/>
        <v>7151</v>
      </c>
      <c r="M17" s="28">
        <f t="shared" si="5"/>
        <v>14.321190395129474</v>
      </c>
      <c r="N17" s="132">
        <v>61025</v>
      </c>
      <c r="O17" s="27">
        <f t="shared" si="6"/>
        <v>3941</v>
      </c>
      <c r="P17" s="29">
        <f t="shared" si="7"/>
        <v>6.9038609768061105</v>
      </c>
    </row>
    <row r="18" spans="2:16" ht="15" thickBot="1">
      <c r="B18" s="9" t="s">
        <v>11</v>
      </c>
      <c r="C18" s="5" t="s">
        <v>23</v>
      </c>
      <c r="D18" s="132">
        <v>0</v>
      </c>
      <c r="E18" s="134">
        <v>0</v>
      </c>
      <c r="F18" s="27">
        <f t="shared" si="0"/>
        <v>0</v>
      </c>
      <c r="G18" s="28" t="s">
        <v>227</v>
      </c>
      <c r="H18" s="134">
        <v>0</v>
      </c>
      <c r="I18" s="27">
        <f t="shared" si="2"/>
        <v>0</v>
      </c>
      <c r="J18" s="28" t="s">
        <v>227</v>
      </c>
      <c r="K18" s="134">
        <v>0</v>
      </c>
      <c r="L18" s="27">
        <f t="shared" si="4"/>
        <v>0</v>
      </c>
      <c r="M18" s="28" t="s">
        <v>227</v>
      </c>
      <c r="N18" s="134">
        <v>0</v>
      </c>
      <c r="O18" s="27">
        <f t="shared" si="6"/>
        <v>0</v>
      </c>
      <c r="P18" s="28" t="s">
        <v>227</v>
      </c>
    </row>
    <row r="19" spans="2:16" ht="15" thickBot="1">
      <c r="B19" s="9" t="s">
        <v>13</v>
      </c>
      <c r="C19" s="5" t="s">
        <v>24</v>
      </c>
      <c r="D19" s="132">
        <f>0.34*D17</f>
        <v>13346.7</v>
      </c>
      <c r="E19" s="132">
        <f t="shared" ref="E19" si="27">0.34*E17</f>
        <v>14907.300000000001</v>
      </c>
      <c r="F19" s="27">
        <f t="shared" si="0"/>
        <v>1560.6000000000004</v>
      </c>
      <c r="G19" s="28">
        <f t="shared" si="1"/>
        <v>11.692777990064961</v>
      </c>
      <c r="H19" s="132">
        <f t="shared" ref="H19" si="28">0.34*H17</f>
        <v>16977.22</v>
      </c>
      <c r="I19" s="27">
        <f t="shared" si="2"/>
        <v>2069.92</v>
      </c>
      <c r="J19" s="28">
        <f>(H19-E19)/ABS(E19)*100</f>
        <v>13.885277682746036</v>
      </c>
      <c r="K19" s="132">
        <f t="shared" ref="K19" si="29">0.34*K17</f>
        <v>19408.560000000001</v>
      </c>
      <c r="L19" s="27">
        <f t="shared" si="4"/>
        <v>2431.34</v>
      </c>
      <c r="M19" s="28">
        <f t="shared" si="5"/>
        <v>14.321190395129474</v>
      </c>
      <c r="N19" s="132">
        <f t="shared" ref="N19" si="30">0.34*N17</f>
        <v>20748.5</v>
      </c>
      <c r="O19" s="27">
        <f t="shared" si="6"/>
        <v>1339.9399999999987</v>
      </c>
      <c r="P19" s="29">
        <f t="shared" si="7"/>
        <v>6.9038609768061034</v>
      </c>
    </row>
    <row r="20" spans="2:16" ht="15" thickBot="1">
      <c r="B20" s="9" t="s">
        <v>25</v>
      </c>
      <c r="C20" s="5" t="s">
        <v>26</v>
      </c>
      <c r="D20" s="132">
        <f>0.031*D17</f>
        <v>1216.905</v>
      </c>
      <c r="E20" s="132">
        <f t="shared" ref="E20" si="31">0.031*E17</f>
        <v>1359.1949999999999</v>
      </c>
      <c r="F20" s="27">
        <f t="shared" si="0"/>
        <v>142.28999999999996</v>
      </c>
      <c r="G20" s="28">
        <f t="shared" si="1"/>
        <v>11.692777990064958</v>
      </c>
      <c r="H20" s="132">
        <f t="shared" ref="H20" si="32">0.031*H17</f>
        <v>1547.923</v>
      </c>
      <c r="I20" s="27">
        <f t="shared" si="2"/>
        <v>188.72800000000007</v>
      </c>
      <c r="J20" s="28">
        <f t="shared" si="3"/>
        <v>13.885277682746041</v>
      </c>
      <c r="K20" s="132">
        <f t="shared" ref="K20" si="33">0.031*K17</f>
        <v>1769.604</v>
      </c>
      <c r="L20" s="27">
        <f t="shared" si="4"/>
        <v>221.68100000000004</v>
      </c>
      <c r="M20" s="28">
        <f t="shared" si="5"/>
        <v>14.321190395129477</v>
      </c>
      <c r="N20" s="132">
        <f t="shared" ref="N20" si="34">0.031*N17</f>
        <v>1891.7750000000001</v>
      </c>
      <c r="O20" s="27">
        <f t="shared" si="6"/>
        <v>122.17100000000005</v>
      </c>
      <c r="P20" s="29">
        <f t="shared" si="7"/>
        <v>6.9038609768061132</v>
      </c>
    </row>
    <row r="21" spans="2:16" ht="15" thickBot="1">
      <c r="B21" s="9" t="s">
        <v>27</v>
      </c>
      <c r="C21" s="5" t="s">
        <v>28</v>
      </c>
      <c r="D21" s="132">
        <v>148</v>
      </c>
      <c r="E21" s="134">
        <v>195</v>
      </c>
      <c r="F21" s="27">
        <f t="shared" si="0"/>
        <v>47</v>
      </c>
      <c r="G21" s="28">
        <f t="shared" si="1"/>
        <v>31.756756756756754</v>
      </c>
      <c r="H21" s="134">
        <v>238</v>
      </c>
      <c r="I21" s="27">
        <f t="shared" si="2"/>
        <v>43</v>
      </c>
      <c r="J21" s="28">
        <f t="shared" si="3"/>
        <v>22.051282051282051</v>
      </c>
      <c r="K21" s="134">
        <v>242</v>
      </c>
      <c r="L21" s="27">
        <f t="shared" si="4"/>
        <v>4</v>
      </c>
      <c r="M21" s="28">
        <f t="shared" si="5"/>
        <v>1.680672268907563</v>
      </c>
      <c r="N21" s="134">
        <v>328</v>
      </c>
      <c r="O21" s="27">
        <f t="shared" si="6"/>
        <v>86</v>
      </c>
      <c r="P21" s="29">
        <f t="shared" si="7"/>
        <v>35.537190082644628</v>
      </c>
    </row>
    <row r="22" spans="2:16" ht="15" thickBot="1">
      <c r="B22" s="9" t="s">
        <v>29</v>
      </c>
      <c r="C22" s="5" t="s">
        <v>30</v>
      </c>
      <c r="D22" s="132">
        <v>9996</v>
      </c>
      <c r="E22" s="132">
        <v>12345</v>
      </c>
      <c r="F22" s="27">
        <f t="shared" si="0"/>
        <v>2349</v>
      </c>
      <c r="G22" s="28">
        <f t="shared" si="1"/>
        <v>23.499399759903959</v>
      </c>
      <c r="H22" s="132">
        <v>17021</v>
      </c>
      <c r="I22" s="27">
        <f t="shared" si="2"/>
        <v>4676</v>
      </c>
      <c r="J22" s="28">
        <f t="shared" si="3"/>
        <v>37.877683272579993</v>
      </c>
      <c r="K22" s="132">
        <v>18145</v>
      </c>
      <c r="L22" s="27">
        <f t="shared" si="4"/>
        <v>1124</v>
      </c>
      <c r="M22" s="28">
        <f t="shared" si="5"/>
        <v>6.6036073086187654</v>
      </c>
      <c r="N22" s="132">
        <v>17121</v>
      </c>
      <c r="O22" s="27">
        <f t="shared" si="6"/>
        <v>-1024</v>
      </c>
      <c r="P22" s="29">
        <f t="shared" si="7"/>
        <v>-5.6434279415817032</v>
      </c>
    </row>
    <row r="23" spans="2:16" ht="15" thickBot="1">
      <c r="B23" s="9" t="s">
        <v>31</v>
      </c>
      <c r="C23" s="5" t="s">
        <v>32</v>
      </c>
      <c r="D23" s="133">
        <f>SUM(D24:D25)</f>
        <v>2759</v>
      </c>
      <c r="E23" s="133">
        <f t="shared" ref="E23" si="35">SUM(E24:E25)</f>
        <v>4263</v>
      </c>
      <c r="F23" s="30">
        <f t="shared" si="0"/>
        <v>1504</v>
      </c>
      <c r="G23" s="28">
        <f t="shared" si="1"/>
        <v>54.512504530627041</v>
      </c>
      <c r="H23" s="133">
        <f t="shared" ref="H23" si="36">SUM(H24:H25)</f>
        <v>1017</v>
      </c>
      <c r="I23" s="30">
        <f t="shared" si="2"/>
        <v>-3246</v>
      </c>
      <c r="J23" s="28">
        <f t="shared" si="3"/>
        <v>-76.143560872624917</v>
      </c>
      <c r="K23" s="133">
        <f t="shared" ref="K23" si="37">SUM(K24:K25)</f>
        <v>6014</v>
      </c>
      <c r="L23" s="30">
        <f t="shared" si="4"/>
        <v>4997</v>
      </c>
      <c r="M23" s="28">
        <f t="shared" si="5"/>
        <v>491.34709931170113</v>
      </c>
      <c r="N23" s="133">
        <f t="shared" ref="N23" si="38">SUM(N24:N25)</f>
        <v>5728</v>
      </c>
      <c r="O23" s="30">
        <f>N23-K23</f>
        <v>-286</v>
      </c>
      <c r="P23" s="29">
        <f t="shared" si="7"/>
        <v>-4.7555703358829398</v>
      </c>
    </row>
    <row r="24" spans="2:16" ht="15" thickBot="1">
      <c r="B24" s="9" t="s">
        <v>9</v>
      </c>
      <c r="C24" s="5" t="s">
        <v>33</v>
      </c>
      <c r="D24" s="132">
        <v>933</v>
      </c>
      <c r="E24" s="134">
        <v>3328</v>
      </c>
      <c r="F24" s="27">
        <f t="shared" si="0"/>
        <v>2395</v>
      </c>
      <c r="G24" s="28">
        <f t="shared" si="1"/>
        <v>256.69882100750272</v>
      </c>
      <c r="H24" s="134">
        <v>295</v>
      </c>
      <c r="I24" s="27">
        <f t="shared" si="2"/>
        <v>-3033</v>
      </c>
      <c r="J24" s="28">
        <f t="shared" si="3"/>
        <v>-91.135817307692307</v>
      </c>
      <c r="K24" s="134">
        <v>5366</v>
      </c>
      <c r="L24" s="27">
        <f t="shared" si="4"/>
        <v>5071</v>
      </c>
      <c r="M24" s="28">
        <f t="shared" si="5"/>
        <v>1718.9830508474574</v>
      </c>
      <c r="N24" s="134">
        <v>4935</v>
      </c>
      <c r="O24" s="27">
        <f t="shared" si="6"/>
        <v>-431</v>
      </c>
      <c r="P24" s="29">
        <f t="shared" si="7"/>
        <v>-8.0320536712635118</v>
      </c>
    </row>
    <row r="25" spans="2:16" ht="15" thickBot="1">
      <c r="B25" s="9" t="s">
        <v>11</v>
      </c>
      <c r="C25" s="5" t="s">
        <v>34</v>
      </c>
      <c r="D25" s="132">
        <v>1826</v>
      </c>
      <c r="E25" s="132">
        <v>935</v>
      </c>
      <c r="F25" s="27">
        <f t="shared" si="0"/>
        <v>-891</v>
      </c>
      <c r="G25" s="28">
        <f t="shared" si="1"/>
        <v>-48.795180722891565</v>
      </c>
      <c r="H25" s="134">
        <v>722</v>
      </c>
      <c r="I25" s="27">
        <f t="shared" si="2"/>
        <v>-213</v>
      </c>
      <c r="J25" s="28">
        <f t="shared" si="3"/>
        <v>-22.780748663101605</v>
      </c>
      <c r="K25" s="132">
        <v>648</v>
      </c>
      <c r="L25" s="27">
        <f>K25-H25</f>
        <v>-74</v>
      </c>
      <c r="M25" s="28">
        <f t="shared" si="5"/>
        <v>-10.249307479224377</v>
      </c>
      <c r="N25" s="134">
        <v>793</v>
      </c>
      <c r="O25" s="27">
        <f t="shared" si="6"/>
        <v>145</v>
      </c>
      <c r="P25" s="29">
        <f t="shared" si="7"/>
        <v>22.376543209876544</v>
      </c>
    </row>
    <row r="26" spans="2:16" ht="15" thickBot="1">
      <c r="B26" s="9" t="s">
        <v>35</v>
      </c>
      <c r="C26" s="5" t="s">
        <v>36</v>
      </c>
      <c r="D26" s="133">
        <f>SUM(D27:D28)</f>
        <v>1712</v>
      </c>
      <c r="E26" s="133">
        <f t="shared" ref="E26" si="39">SUM(E27:E28)</f>
        <v>2758</v>
      </c>
      <c r="F26" s="30">
        <f t="shared" si="0"/>
        <v>1046</v>
      </c>
      <c r="G26" s="28">
        <f t="shared" si="1"/>
        <v>61.098130841121502</v>
      </c>
      <c r="H26" s="133">
        <f t="shared" ref="H26" si="40">SUM(H27:H28)</f>
        <v>561</v>
      </c>
      <c r="I26" s="30">
        <f t="shared" si="2"/>
        <v>-2197</v>
      </c>
      <c r="J26" s="28">
        <f t="shared" si="3"/>
        <v>-79.659173313995652</v>
      </c>
      <c r="K26" s="133">
        <f t="shared" ref="K26" si="41">SUM(K27:K28)</f>
        <v>5358</v>
      </c>
      <c r="L26" s="30">
        <f t="shared" si="4"/>
        <v>4797</v>
      </c>
      <c r="M26" s="28">
        <f t="shared" si="5"/>
        <v>855.08021390374336</v>
      </c>
      <c r="N26" s="133">
        <f t="shared" ref="N26" si="42">SUM(N27:N28)</f>
        <v>3622</v>
      </c>
      <c r="O26" s="30">
        <f t="shared" si="6"/>
        <v>-1736</v>
      </c>
      <c r="P26" s="29">
        <f t="shared" si="7"/>
        <v>-32.400149309443819</v>
      </c>
    </row>
    <row r="27" spans="2:16" ht="15" thickBot="1">
      <c r="B27" s="9" t="s">
        <v>9</v>
      </c>
      <c r="C27" s="5" t="s">
        <v>37</v>
      </c>
      <c r="D27" s="132">
        <v>128</v>
      </c>
      <c r="E27" s="134">
        <v>2133</v>
      </c>
      <c r="F27" s="27">
        <f t="shared" si="0"/>
        <v>2005</v>
      </c>
      <c r="G27" s="28">
        <f t="shared" si="1"/>
        <v>1566.40625</v>
      </c>
      <c r="H27" s="134">
        <v>48</v>
      </c>
      <c r="I27" s="27">
        <f t="shared" si="2"/>
        <v>-2085</v>
      </c>
      <c r="J27" s="28">
        <f t="shared" si="3"/>
        <v>-97.749648382559769</v>
      </c>
      <c r="K27" s="134">
        <v>4935</v>
      </c>
      <c r="L27" s="27">
        <f t="shared" si="4"/>
        <v>4887</v>
      </c>
      <c r="M27" s="28">
        <f t="shared" si="5"/>
        <v>10181.25</v>
      </c>
      <c r="N27" s="134">
        <v>3026</v>
      </c>
      <c r="O27" s="27">
        <f t="shared" si="6"/>
        <v>-1909</v>
      </c>
      <c r="P27" s="29">
        <f t="shared" si="7"/>
        <v>-38.682877406281662</v>
      </c>
    </row>
    <row r="28" spans="2:16" ht="15" thickBot="1">
      <c r="B28" s="9" t="s">
        <v>11</v>
      </c>
      <c r="C28" s="5" t="s">
        <v>38</v>
      </c>
      <c r="D28" s="132">
        <v>1584</v>
      </c>
      <c r="E28" s="132">
        <v>625</v>
      </c>
      <c r="F28" s="27">
        <f t="shared" si="0"/>
        <v>-959</v>
      </c>
      <c r="G28" s="28">
        <f t="shared" si="1"/>
        <v>-60.542929292929294</v>
      </c>
      <c r="H28" s="134">
        <v>513</v>
      </c>
      <c r="I28" s="27">
        <f t="shared" si="2"/>
        <v>-112</v>
      </c>
      <c r="J28" s="28">
        <f t="shared" si="3"/>
        <v>-17.919999999999998</v>
      </c>
      <c r="K28" s="132">
        <v>423</v>
      </c>
      <c r="L28" s="27">
        <f t="shared" si="4"/>
        <v>-90</v>
      </c>
      <c r="M28" s="28">
        <f>(K28-H28)/ABS(H28)*100</f>
        <v>-17.543859649122805</v>
      </c>
      <c r="N28" s="134">
        <v>596</v>
      </c>
      <c r="O28" s="27">
        <f t="shared" si="6"/>
        <v>173</v>
      </c>
      <c r="P28" s="29">
        <f t="shared" si="7"/>
        <v>40.898345153664302</v>
      </c>
    </row>
    <row r="29" spans="2:16" ht="29" thickBot="1">
      <c r="B29" s="9" t="s">
        <v>39</v>
      </c>
      <c r="C29" s="13" t="s">
        <v>40</v>
      </c>
      <c r="D29" s="132">
        <v>-3695</v>
      </c>
      <c r="E29" s="132">
        <v>-1293</v>
      </c>
      <c r="F29" s="27">
        <f>E29-D29</f>
        <v>2402</v>
      </c>
      <c r="G29" s="28">
        <f t="shared" si="1"/>
        <v>65.006765899864689</v>
      </c>
      <c r="H29" s="134">
        <v>-542</v>
      </c>
      <c r="I29" s="27">
        <f t="shared" si="2"/>
        <v>751</v>
      </c>
      <c r="J29" s="28">
        <f>(H29-E29)/ABS(E29)*100</f>
        <v>58.081979891724664</v>
      </c>
      <c r="K29" s="132">
        <v>726</v>
      </c>
      <c r="L29" s="27">
        <f t="shared" si="4"/>
        <v>1268</v>
      </c>
      <c r="M29" s="28">
        <f t="shared" si="5"/>
        <v>233.94833948339482</v>
      </c>
      <c r="N29" s="134">
        <v>-93</v>
      </c>
      <c r="O29" s="27">
        <f t="shared" si="6"/>
        <v>-819</v>
      </c>
      <c r="P29" s="29">
        <f t="shared" si="7"/>
        <v>-112.80991735537189</v>
      </c>
    </row>
    <row r="30" spans="2:16" ht="15" thickBot="1">
      <c r="B30" s="9" t="s">
        <v>41</v>
      </c>
      <c r="C30" s="5" t="s">
        <v>42</v>
      </c>
      <c r="D30" s="132">
        <v>19625</v>
      </c>
      <c r="E30" s="134">
        <v>30942</v>
      </c>
      <c r="F30" s="27">
        <f t="shared" si="0"/>
        <v>11317</v>
      </c>
      <c r="G30" s="28">
        <f t="shared" si="1"/>
        <v>57.666242038216566</v>
      </c>
      <c r="H30" s="134">
        <v>8263</v>
      </c>
      <c r="I30" s="27">
        <f t="shared" si="2"/>
        <v>-22679</v>
      </c>
      <c r="J30" s="28">
        <f t="shared" si="3"/>
        <v>-73.295197466227137</v>
      </c>
      <c r="K30" s="134">
        <v>4155</v>
      </c>
      <c r="L30" s="27">
        <f t="shared" si="4"/>
        <v>-4108</v>
      </c>
      <c r="M30" s="28">
        <f t="shared" si="5"/>
        <v>-49.715599661140018</v>
      </c>
      <c r="N30" s="134">
        <v>1563</v>
      </c>
      <c r="O30" s="27">
        <f t="shared" si="6"/>
        <v>-2592</v>
      </c>
      <c r="P30" s="29">
        <f t="shared" si="7"/>
        <v>-62.382671480144403</v>
      </c>
    </row>
    <row r="31" spans="2:16" ht="15" thickBot="1">
      <c r="B31" s="9" t="s">
        <v>43</v>
      </c>
      <c r="C31" s="5" t="s">
        <v>44</v>
      </c>
      <c r="D31" s="132">
        <v>17845</v>
      </c>
      <c r="E31" s="132">
        <v>30942</v>
      </c>
      <c r="F31" s="27">
        <f t="shared" si="0"/>
        <v>13097</v>
      </c>
      <c r="G31" s="28">
        <f t="shared" si="1"/>
        <v>73.393107312972816</v>
      </c>
      <c r="H31" s="134">
        <v>8963</v>
      </c>
      <c r="I31" s="27">
        <f t="shared" si="2"/>
        <v>-21979</v>
      </c>
      <c r="J31" s="28">
        <f t="shared" si="3"/>
        <v>-71.032900265011961</v>
      </c>
      <c r="K31" s="132">
        <v>3325</v>
      </c>
      <c r="L31" s="27">
        <f t="shared" si="4"/>
        <v>-5638</v>
      </c>
      <c r="M31" s="28">
        <f t="shared" si="5"/>
        <v>-62.903045855182413</v>
      </c>
      <c r="N31" s="134">
        <v>985</v>
      </c>
      <c r="O31" s="27">
        <f t="shared" si="6"/>
        <v>-2340</v>
      </c>
      <c r="P31" s="29">
        <f t="shared" si="7"/>
        <v>-70.375939849624061</v>
      </c>
    </row>
    <row r="32" spans="2:16" ht="15" thickBot="1">
      <c r="B32" s="9" t="s">
        <v>45</v>
      </c>
      <c r="C32" s="5" t="s">
        <v>46</v>
      </c>
      <c r="D32" s="132">
        <v>0</v>
      </c>
      <c r="E32" s="134">
        <v>0</v>
      </c>
      <c r="F32" s="27">
        <f t="shared" si="0"/>
        <v>0</v>
      </c>
      <c r="G32" s="28" t="s">
        <v>227</v>
      </c>
      <c r="H32" s="134">
        <v>0</v>
      </c>
      <c r="I32" s="27">
        <f t="shared" si="2"/>
        <v>0</v>
      </c>
      <c r="J32" s="28" t="s">
        <v>227</v>
      </c>
      <c r="K32" s="134">
        <v>0</v>
      </c>
      <c r="L32" s="27">
        <f t="shared" si="4"/>
        <v>0</v>
      </c>
      <c r="M32" s="28" t="s">
        <v>227</v>
      </c>
      <c r="N32" s="134">
        <v>0</v>
      </c>
      <c r="O32" s="27">
        <f t="shared" si="6"/>
        <v>0</v>
      </c>
      <c r="P32" s="28" t="s">
        <v>227</v>
      </c>
    </row>
    <row r="33" spans="2:16" ht="15" thickBot="1">
      <c r="B33" s="9" t="s">
        <v>1</v>
      </c>
      <c r="C33" s="5" t="s">
        <v>47</v>
      </c>
      <c r="D33" s="132">
        <v>0</v>
      </c>
      <c r="E33" s="134">
        <v>0</v>
      </c>
      <c r="F33" s="27">
        <f t="shared" si="0"/>
        <v>0</v>
      </c>
      <c r="G33" s="28" t="s">
        <v>227</v>
      </c>
      <c r="H33" s="134">
        <v>0</v>
      </c>
      <c r="I33" s="27">
        <f t="shared" si="2"/>
        <v>0</v>
      </c>
      <c r="J33" s="28" t="s">
        <v>227</v>
      </c>
      <c r="K33" s="134">
        <v>0</v>
      </c>
      <c r="L33" s="27">
        <f t="shared" si="4"/>
        <v>0</v>
      </c>
      <c r="M33" s="28" t="s">
        <v>227</v>
      </c>
      <c r="N33" s="134">
        <v>0</v>
      </c>
      <c r="O33" s="27">
        <f t="shared" si="6"/>
        <v>0</v>
      </c>
      <c r="P33" s="28" t="s">
        <v>227</v>
      </c>
    </row>
    <row r="34" spans="2:16" ht="15" thickBot="1">
      <c r="B34" s="9" t="s">
        <v>48</v>
      </c>
      <c r="C34" s="14" t="s">
        <v>49</v>
      </c>
      <c r="D34" s="133">
        <f>D15-D16-D21-D22+D23-D26-D29+D30-D31</f>
        <v>40862.395000000004</v>
      </c>
      <c r="E34" s="133">
        <f>E15-E16-E21-E22+E23-E26-E29+E30-E31</f>
        <v>36283.505000000005</v>
      </c>
      <c r="F34" s="30">
        <f t="shared" si="0"/>
        <v>-4578.8899999999994</v>
      </c>
      <c r="G34" s="28">
        <f t="shared" si="1"/>
        <v>-11.205632954211321</v>
      </c>
      <c r="H34" s="133">
        <f t="shared" ref="H34" si="43">H15-H16-H21-H22+H23-H26-H29+H30-H31</f>
        <v>29705.857000000004</v>
      </c>
      <c r="I34" s="30">
        <f>H34-E34</f>
        <v>-6577.648000000001</v>
      </c>
      <c r="J34" s="28">
        <f t="shared" si="3"/>
        <v>-18.128480145454525</v>
      </c>
      <c r="K34" s="133">
        <f t="shared" ref="K34" si="44">K15-K16-K21-K22+K23-K26-K29+K30-K31</f>
        <v>39074.835999999996</v>
      </c>
      <c r="L34" s="30">
        <f t="shared" si="4"/>
        <v>9368.9789999999921</v>
      </c>
      <c r="M34" s="28">
        <f t="shared" si="5"/>
        <v>31.539164145306398</v>
      </c>
      <c r="N34" s="133">
        <f t="shared" ref="N34" si="45">N15-N16-N21-N22+N23-N26-N29+N30-N31</f>
        <v>28553.725000000006</v>
      </c>
      <c r="O34" s="30">
        <f t="shared" si="6"/>
        <v>-10521.11099999999</v>
      </c>
      <c r="P34" s="29">
        <f t="shared" si="7"/>
        <v>-26.925541031061499</v>
      </c>
    </row>
    <row r="35" spans="2:16" ht="15" thickBot="1">
      <c r="B35" s="9" t="s">
        <v>50</v>
      </c>
      <c r="C35" s="5" t="s">
        <v>51</v>
      </c>
      <c r="D35" s="132">
        <v>0</v>
      </c>
      <c r="E35" s="134">
        <v>0</v>
      </c>
      <c r="F35" s="27">
        <f t="shared" si="0"/>
        <v>0</v>
      </c>
      <c r="G35" s="28" t="s">
        <v>227</v>
      </c>
      <c r="H35" s="134">
        <v>0</v>
      </c>
      <c r="I35" s="27">
        <f t="shared" si="2"/>
        <v>0</v>
      </c>
      <c r="J35" s="28" t="s">
        <v>227</v>
      </c>
      <c r="K35" s="134">
        <v>0</v>
      </c>
      <c r="L35" s="27">
        <f t="shared" si="4"/>
        <v>0</v>
      </c>
      <c r="M35" s="28" t="s">
        <v>227</v>
      </c>
      <c r="N35" s="134">
        <v>0</v>
      </c>
      <c r="O35" s="27">
        <f t="shared" si="6"/>
        <v>0</v>
      </c>
      <c r="P35" s="28" t="s">
        <v>227</v>
      </c>
    </row>
    <row r="36" spans="2:16" ht="15" thickBot="1">
      <c r="B36" s="9" t="s">
        <v>52</v>
      </c>
      <c r="C36" s="5" t="s">
        <v>53</v>
      </c>
      <c r="D36" s="11">
        <v>0</v>
      </c>
      <c r="E36" s="7">
        <v>0</v>
      </c>
      <c r="F36" s="27">
        <f t="shared" si="0"/>
        <v>0</v>
      </c>
      <c r="G36" s="28" t="s">
        <v>227</v>
      </c>
      <c r="H36" s="7">
        <v>0</v>
      </c>
      <c r="I36" s="27">
        <f t="shared" si="2"/>
        <v>0</v>
      </c>
      <c r="J36" s="28" t="s">
        <v>227</v>
      </c>
      <c r="K36" s="7">
        <v>0</v>
      </c>
      <c r="L36" s="27">
        <f t="shared" si="4"/>
        <v>0</v>
      </c>
      <c r="M36" s="28" t="s">
        <v>227</v>
      </c>
      <c r="N36" s="7">
        <v>0</v>
      </c>
      <c r="O36" s="27">
        <f t="shared" si="6"/>
        <v>0</v>
      </c>
      <c r="P36" s="28" t="s">
        <v>227</v>
      </c>
    </row>
    <row r="37" spans="2:16" ht="15" thickBot="1">
      <c r="B37" s="9" t="s">
        <v>54</v>
      </c>
      <c r="C37" s="5" t="s">
        <v>55</v>
      </c>
      <c r="D37" s="12">
        <f>SUM(D38:D40)</f>
        <v>0</v>
      </c>
      <c r="E37" s="12">
        <f t="shared" ref="E37" si="46">SUM(E38:E40)</f>
        <v>0</v>
      </c>
      <c r="F37" s="30">
        <f t="shared" si="0"/>
        <v>0</v>
      </c>
      <c r="G37" s="28" t="s">
        <v>227</v>
      </c>
      <c r="H37" s="12">
        <f t="shared" ref="H37" si="47">SUM(H38:H40)</f>
        <v>0</v>
      </c>
      <c r="I37" s="30">
        <f t="shared" si="2"/>
        <v>0</v>
      </c>
      <c r="J37" s="28" t="s">
        <v>227</v>
      </c>
      <c r="K37" s="12">
        <f t="shared" ref="K37" si="48">SUM(K38:K40)</f>
        <v>0</v>
      </c>
      <c r="L37" s="30">
        <f t="shared" si="4"/>
        <v>0</v>
      </c>
      <c r="M37" s="28" t="s">
        <v>227</v>
      </c>
      <c r="N37" s="12">
        <f t="shared" ref="N37" si="49">SUM(N38:N40)</f>
        <v>0</v>
      </c>
      <c r="O37" s="30">
        <f t="shared" si="6"/>
        <v>0</v>
      </c>
      <c r="P37" s="28" t="s">
        <v>227</v>
      </c>
    </row>
    <row r="38" spans="2:16" ht="29" thickBot="1">
      <c r="B38" s="9" t="s">
        <v>9</v>
      </c>
      <c r="C38" s="13" t="s">
        <v>56</v>
      </c>
      <c r="D38" s="11">
        <v>0</v>
      </c>
      <c r="E38" s="7">
        <v>0</v>
      </c>
      <c r="F38" s="27">
        <f t="shared" si="0"/>
        <v>0</v>
      </c>
      <c r="G38" s="28" t="s">
        <v>227</v>
      </c>
      <c r="H38" s="7">
        <v>0</v>
      </c>
      <c r="I38" s="27">
        <f t="shared" si="2"/>
        <v>0</v>
      </c>
      <c r="J38" s="28" t="s">
        <v>227</v>
      </c>
      <c r="K38" s="7">
        <v>0</v>
      </c>
      <c r="L38" s="27">
        <f t="shared" si="4"/>
        <v>0</v>
      </c>
      <c r="M38" s="28" t="s">
        <v>227</v>
      </c>
      <c r="N38" s="7">
        <v>0</v>
      </c>
      <c r="O38" s="27">
        <f>N38-K38</f>
        <v>0</v>
      </c>
      <c r="P38" s="28" t="s">
        <v>227</v>
      </c>
    </row>
    <row r="39" spans="2:16" ht="15" thickBot="1">
      <c r="B39" s="9" t="s">
        <v>11</v>
      </c>
      <c r="C39" s="5" t="s">
        <v>57</v>
      </c>
      <c r="D39" s="11">
        <v>0</v>
      </c>
      <c r="E39" s="7">
        <v>0</v>
      </c>
      <c r="F39" s="27">
        <f t="shared" si="0"/>
        <v>0</v>
      </c>
      <c r="G39" s="28" t="s">
        <v>227</v>
      </c>
      <c r="H39" s="7">
        <v>0</v>
      </c>
      <c r="I39" s="27">
        <f t="shared" si="2"/>
        <v>0</v>
      </c>
      <c r="J39" s="28" t="s">
        <v>227</v>
      </c>
      <c r="K39" s="7">
        <v>0</v>
      </c>
      <c r="L39" s="27">
        <f t="shared" si="4"/>
        <v>0</v>
      </c>
      <c r="M39" s="28" t="s">
        <v>227</v>
      </c>
      <c r="N39" s="7">
        <v>0</v>
      </c>
      <c r="O39" s="27">
        <f t="shared" si="6"/>
        <v>0</v>
      </c>
      <c r="P39" s="28" t="s">
        <v>227</v>
      </c>
    </row>
    <row r="40" spans="2:16" ht="15" thickBot="1">
      <c r="B40" s="9" t="s">
        <v>13</v>
      </c>
      <c r="C40" s="5" t="s">
        <v>58</v>
      </c>
      <c r="D40" s="11">
        <v>0</v>
      </c>
      <c r="E40" s="7">
        <v>0</v>
      </c>
      <c r="F40" s="27">
        <f t="shared" si="0"/>
        <v>0</v>
      </c>
      <c r="G40" s="28" t="s">
        <v>227</v>
      </c>
      <c r="H40" s="7">
        <v>0</v>
      </c>
      <c r="I40" s="27">
        <f t="shared" si="2"/>
        <v>0</v>
      </c>
      <c r="J40" s="28" t="s">
        <v>227</v>
      </c>
      <c r="K40" s="7">
        <v>0</v>
      </c>
      <c r="L40" s="27">
        <f t="shared" si="4"/>
        <v>0</v>
      </c>
      <c r="M40" s="28" t="s">
        <v>227</v>
      </c>
      <c r="N40" s="7">
        <v>0</v>
      </c>
      <c r="O40" s="27">
        <f t="shared" si="6"/>
        <v>0</v>
      </c>
      <c r="P40" s="28" t="s">
        <v>227</v>
      </c>
    </row>
    <row r="41" spans="2:16" ht="15" thickBot="1">
      <c r="B41" s="9" t="s">
        <v>59</v>
      </c>
      <c r="C41" s="5" t="s">
        <v>60</v>
      </c>
      <c r="D41" s="11">
        <v>0</v>
      </c>
      <c r="E41" s="7">
        <v>0</v>
      </c>
      <c r="F41" s="27">
        <f t="shared" si="0"/>
        <v>0</v>
      </c>
      <c r="G41" s="28" t="s">
        <v>227</v>
      </c>
      <c r="H41" s="7">
        <v>0</v>
      </c>
      <c r="I41" s="27">
        <f t="shared" si="2"/>
        <v>0</v>
      </c>
      <c r="J41" s="28" t="s">
        <v>227</v>
      </c>
      <c r="K41" s="7">
        <v>0</v>
      </c>
      <c r="L41" s="27">
        <f t="shared" si="4"/>
        <v>0</v>
      </c>
      <c r="M41" s="28" t="s">
        <v>227</v>
      </c>
      <c r="N41" s="7">
        <v>0</v>
      </c>
      <c r="O41" s="27">
        <f t="shared" si="6"/>
        <v>0</v>
      </c>
      <c r="P41" s="28" t="s">
        <v>227</v>
      </c>
    </row>
    <row r="42" spans="2:16" ht="15" thickBot="1">
      <c r="B42" s="9" t="s">
        <v>61</v>
      </c>
      <c r="C42" s="5" t="s">
        <v>62</v>
      </c>
      <c r="D42" s="11">
        <v>0</v>
      </c>
      <c r="E42" s="7">
        <v>0</v>
      </c>
      <c r="F42" s="27">
        <f t="shared" si="0"/>
        <v>0</v>
      </c>
      <c r="G42" s="28" t="s">
        <v>227</v>
      </c>
      <c r="H42" s="7">
        <v>0</v>
      </c>
      <c r="I42" s="27">
        <f t="shared" si="2"/>
        <v>0</v>
      </c>
      <c r="J42" s="28" t="s">
        <v>227</v>
      </c>
      <c r="K42" s="7">
        <v>0</v>
      </c>
      <c r="L42" s="27">
        <f t="shared" si="4"/>
        <v>0</v>
      </c>
      <c r="M42" s="28" t="s">
        <v>227</v>
      </c>
      <c r="N42" s="7">
        <v>0</v>
      </c>
      <c r="O42" s="27">
        <f t="shared" si="6"/>
        <v>0</v>
      </c>
      <c r="P42" s="28" t="s">
        <v>227</v>
      </c>
    </row>
    <row r="43" spans="2:16" ht="15" thickBot="1">
      <c r="B43" s="9" t="s">
        <v>63</v>
      </c>
      <c r="C43" s="5" t="s">
        <v>64</v>
      </c>
      <c r="D43" s="11">
        <v>0</v>
      </c>
      <c r="E43" s="7">
        <v>0</v>
      </c>
      <c r="F43" s="27">
        <f t="shared" si="0"/>
        <v>0</v>
      </c>
      <c r="G43" s="28" t="s">
        <v>227</v>
      </c>
      <c r="H43" s="7">
        <v>0</v>
      </c>
      <c r="I43" s="27">
        <f t="shared" si="2"/>
        <v>0</v>
      </c>
      <c r="J43" s="28" t="s">
        <v>227</v>
      </c>
      <c r="K43" s="7">
        <v>0</v>
      </c>
      <c r="L43" s="27">
        <f>K43-H43</f>
        <v>0</v>
      </c>
      <c r="M43" s="28" t="s">
        <v>227</v>
      </c>
      <c r="N43" s="7">
        <v>0</v>
      </c>
      <c r="O43" s="27">
        <f t="shared" si="6"/>
        <v>0</v>
      </c>
      <c r="P43" s="28" t="s">
        <v>227</v>
      </c>
    </row>
    <row r="44" spans="2:16" ht="15" thickBot="1">
      <c r="B44" s="9" t="s">
        <v>65</v>
      </c>
      <c r="C44" s="5" t="s">
        <v>66</v>
      </c>
      <c r="D44" s="7">
        <v>0</v>
      </c>
      <c r="E44" s="7">
        <v>0</v>
      </c>
      <c r="F44" s="27">
        <f>E44-D44</f>
        <v>0</v>
      </c>
      <c r="G44" s="28" t="s">
        <v>227</v>
      </c>
      <c r="H44" s="7">
        <v>0</v>
      </c>
      <c r="I44" s="27">
        <f t="shared" si="2"/>
        <v>0</v>
      </c>
      <c r="J44" s="28" t="s">
        <v>227</v>
      </c>
      <c r="K44" s="7">
        <v>0</v>
      </c>
      <c r="L44" s="27">
        <f t="shared" si="4"/>
        <v>0</v>
      </c>
      <c r="M44" s="28" t="s">
        <v>227</v>
      </c>
      <c r="N44" s="7">
        <v>0</v>
      </c>
      <c r="O44" s="27">
        <f t="shared" si="6"/>
        <v>0</v>
      </c>
      <c r="P44" s="28" t="s">
        <v>227</v>
      </c>
    </row>
    <row r="45" spans="2:16" ht="15" thickBot="1">
      <c r="B45" s="9" t="s">
        <v>67</v>
      </c>
      <c r="C45" s="5" t="s">
        <v>68</v>
      </c>
      <c r="D45" s="7">
        <v>0</v>
      </c>
      <c r="E45" s="7">
        <v>0</v>
      </c>
      <c r="F45" s="27">
        <f t="shared" si="0"/>
        <v>0</v>
      </c>
      <c r="G45" s="28" t="s">
        <v>227</v>
      </c>
      <c r="H45" s="7">
        <v>0</v>
      </c>
      <c r="I45" s="27">
        <f t="shared" si="2"/>
        <v>0</v>
      </c>
      <c r="J45" s="28" t="s">
        <v>227</v>
      </c>
      <c r="K45" s="7">
        <v>0</v>
      </c>
      <c r="L45" s="27">
        <f t="shared" si="4"/>
        <v>0</v>
      </c>
      <c r="M45" s="28" t="s">
        <v>227</v>
      </c>
      <c r="N45" s="7">
        <v>0</v>
      </c>
      <c r="O45" s="27">
        <f t="shared" si="6"/>
        <v>0</v>
      </c>
      <c r="P45" s="28" t="s">
        <v>227</v>
      </c>
    </row>
    <row r="46" spans="2:16" ht="15" thickBot="1">
      <c r="B46" s="9" t="s">
        <v>69</v>
      </c>
      <c r="C46" s="5" t="s">
        <v>70</v>
      </c>
      <c r="D46" s="7">
        <v>45</v>
      </c>
      <c r="E46" s="7">
        <v>33</v>
      </c>
      <c r="F46" s="27">
        <f t="shared" si="0"/>
        <v>-12</v>
      </c>
      <c r="G46" s="28">
        <f t="shared" si="1"/>
        <v>-26.666666666666668</v>
      </c>
      <c r="H46" s="7">
        <v>22</v>
      </c>
      <c r="I46" s="27">
        <f t="shared" si="2"/>
        <v>-11</v>
      </c>
      <c r="J46" s="28">
        <f t="shared" si="3"/>
        <v>-33.333333333333329</v>
      </c>
      <c r="K46" s="7">
        <v>18</v>
      </c>
      <c r="L46" s="27">
        <f t="shared" si="4"/>
        <v>-4</v>
      </c>
      <c r="M46" s="28">
        <f t="shared" si="5"/>
        <v>-18.181818181818183</v>
      </c>
      <c r="N46" s="7">
        <v>8</v>
      </c>
      <c r="O46" s="27">
        <f t="shared" si="6"/>
        <v>-10</v>
      </c>
      <c r="P46" s="29">
        <f t="shared" si="7"/>
        <v>-55.555555555555557</v>
      </c>
    </row>
    <row r="47" spans="2:16" ht="15" thickBot="1">
      <c r="B47" s="9" t="s">
        <v>71</v>
      </c>
      <c r="C47" s="5" t="s">
        <v>72</v>
      </c>
      <c r="D47" s="7">
        <v>1933</v>
      </c>
      <c r="E47" s="7">
        <v>1302</v>
      </c>
      <c r="F47" s="27">
        <f t="shared" si="0"/>
        <v>-631</v>
      </c>
      <c r="G47" s="28">
        <f t="shared" si="1"/>
        <v>-32.643559234350747</v>
      </c>
      <c r="H47" s="7">
        <v>1495</v>
      </c>
      <c r="I47" s="27">
        <f t="shared" si="2"/>
        <v>193</v>
      </c>
      <c r="J47" s="28">
        <f t="shared" si="3"/>
        <v>14.823348694316435</v>
      </c>
      <c r="K47" s="7">
        <v>1021</v>
      </c>
      <c r="L47" s="27">
        <f t="shared" si="4"/>
        <v>-474</v>
      </c>
      <c r="M47" s="28">
        <f t="shared" si="5"/>
        <v>-31.705685618729095</v>
      </c>
      <c r="N47" s="7">
        <v>1222</v>
      </c>
      <c r="O47" s="27">
        <f t="shared" si="6"/>
        <v>201</v>
      </c>
      <c r="P47" s="29">
        <f t="shared" si="7"/>
        <v>19.686581782566112</v>
      </c>
    </row>
    <row r="48" spans="2:16" ht="15" thickBot="1">
      <c r="B48" s="9" t="s">
        <v>73</v>
      </c>
      <c r="C48" s="5" t="s">
        <v>74</v>
      </c>
      <c r="D48" s="7">
        <v>593</v>
      </c>
      <c r="E48" s="7">
        <v>426</v>
      </c>
      <c r="F48" s="27">
        <f t="shared" si="0"/>
        <v>-167</v>
      </c>
      <c r="G48" s="28">
        <f t="shared" si="1"/>
        <v>-28.161888701517707</v>
      </c>
      <c r="H48" s="7">
        <v>573</v>
      </c>
      <c r="I48" s="27">
        <f t="shared" si="2"/>
        <v>147</v>
      </c>
      <c r="J48" s="28">
        <f t="shared" si="3"/>
        <v>34.507042253521128</v>
      </c>
      <c r="K48" s="7">
        <v>528</v>
      </c>
      <c r="L48" s="27">
        <f t="shared" si="4"/>
        <v>-45</v>
      </c>
      <c r="M48" s="28">
        <f t="shared" si="5"/>
        <v>-7.8534031413612562</v>
      </c>
      <c r="N48" s="7">
        <v>321</v>
      </c>
      <c r="O48" s="27">
        <f t="shared" si="6"/>
        <v>-207</v>
      </c>
      <c r="P48" s="29">
        <f t="shared" si="7"/>
        <v>-39.204545454545453</v>
      </c>
    </row>
    <row r="49" spans="2:16" ht="15" thickBot="1">
      <c r="B49" s="9" t="s">
        <v>75</v>
      </c>
      <c r="C49" s="5" t="s">
        <v>76</v>
      </c>
      <c r="D49" s="7">
        <v>2133</v>
      </c>
      <c r="E49" s="7">
        <v>2126</v>
      </c>
      <c r="F49" s="27">
        <f t="shared" si="0"/>
        <v>-7</v>
      </c>
      <c r="G49" s="28">
        <f t="shared" si="1"/>
        <v>-0.32817627754336615</v>
      </c>
      <c r="H49" s="7">
        <v>3128</v>
      </c>
      <c r="I49" s="27">
        <f t="shared" si="2"/>
        <v>1002</v>
      </c>
      <c r="J49" s="28">
        <f>(H49-E49)/ABS(E49)*100</f>
        <v>47.130761994355595</v>
      </c>
      <c r="K49" s="7">
        <v>2833</v>
      </c>
      <c r="L49" s="27">
        <f t="shared" si="4"/>
        <v>-295</v>
      </c>
      <c r="M49" s="28">
        <f t="shared" si="5"/>
        <v>-9.4309462915601028</v>
      </c>
      <c r="N49" s="7">
        <v>2921</v>
      </c>
      <c r="O49" s="27">
        <f t="shared" si="6"/>
        <v>88</v>
      </c>
      <c r="P49" s="29">
        <f t="shared" si="7"/>
        <v>3.1062477938581008</v>
      </c>
    </row>
    <row r="50" spans="2:16" ht="15" thickBot="1">
      <c r="B50" s="9" t="s">
        <v>77</v>
      </c>
      <c r="C50" s="5" t="s">
        <v>78</v>
      </c>
      <c r="D50" s="7">
        <v>0</v>
      </c>
      <c r="E50" s="7">
        <v>0</v>
      </c>
      <c r="F50" s="27">
        <f t="shared" si="0"/>
        <v>0</v>
      </c>
      <c r="G50" s="28" t="s">
        <v>227</v>
      </c>
      <c r="H50" s="7">
        <v>0</v>
      </c>
      <c r="I50" s="27">
        <f t="shared" si="2"/>
        <v>0</v>
      </c>
      <c r="J50" s="28" t="s">
        <v>227</v>
      </c>
      <c r="K50" s="7">
        <v>0</v>
      </c>
      <c r="L50" s="27">
        <f t="shared" si="4"/>
        <v>0</v>
      </c>
      <c r="M50" s="28" t="s">
        <v>227</v>
      </c>
      <c r="N50" s="7">
        <v>0</v>
      </c>
      <c r="O50" s="27">
        <f t="shared" si="6"/>
        <v>0</v>
      </c>
      <c r="P50" s="28" t="s">
        <v>227</v>
      </c>
    </row>
    <row r="51" spans="2:16" ht="15" thickBot="1">
      <c r="B51" s="9" t="s">
        <v>79</v>
      </c>
      <c r="C51" s="5" t="s">
        <v>80</v>
      </c>
      <c r="D51" s="7">
        <v>0</v>
      </c>
      <c r="E51" s="7">
        <v>0</v>
      </c>
      <c r="F51" s="27">
        <f t="shared" si="0"/>
        <v>0</v>
      </c>
      <c r="G51" s="28" t="s">
        <v>227</v>
      </c>
      <c r="H51" s="7">
        <v>0</v>
      </c>
      <c r="I51" s="27">
        <f t="shared" si="2"/>
        <v>0</v>
      </c>
      <c r="J51" s="28" t="s">
        <v>227</v>
      </c>
      <c r="K51" s="7">
        <v>0</v>
      </c>
      <c r="L51" s="27">
        <f t="shared" si="4"/>
        <v>0</v>
      </c>
      <c r="M51" s="28" t="s">
        <v>227</v>
      </c>
      <c r="N51" s="7">
        <v>0</v>
      </c>
      <c r="O51" s="27">
        <f>N51-K51</f>
        <v>0</v>
      </c>
      <c r="P51" s="28" t="s">
        <v>227</v>
      </c>
    </row>
    <row r="52" spans="2:16" ht="15" thickBot="1">
      <c r="B52" s="9" t="s">
        <v>48</v>
      </c>
      <c r="C52" s="14" t="s">
        <v>81</v>
      </c>
      <c r="D52" s="12">
        <f>D35+D37+D41+D43-D45+D46+D48+D50-D36-D42-D44-D47-D49-D51</f>
        <v>-3428</v>
      </c>
      <c r="E52" s="12">
        <f t="shared" ref="E52" si="50">E35+E37+E41+E43-E45+E46+E48+E50-E36-E42-E44-E47-E49-E51</f>
        <v>-2969</v>
      </c>
      <c r="F52" s="30">
        <f t="shared" si="0"/>
        <v>459</v>
      </c>
      <c r="G52" s="28">
        <f t="shared" si="1"/>
        <v>13.38973162193699</v>
      </c>
      <c r="H52" s="12">
        <f t="shared" ref="H52" si="51">H35+H37+H41+H43-H45+H46+H48+H50-H36-H42-H44-H47-H49-H51</f>
        <v>-4028</v>
      </c>
      <c r="I52" s="30">
        <f t="shared" si="2"/>
        <v>-1059</v>
      </c>
      <c r="J52" s="28">
        <f t="shared" si="3"/>
        <v>-35.668575277871341</v>
      </c>
      <c r="K52" s="12">
        <f t="shared" ref="K52" si="52">K35+K37+K41+K43-K45+K46+K48+K50-K36-K42-K44-K47-K49-K51</f>
        <v>-3308</v>
      </c>
      <c r="L52" s="30">
        <f t="shared" si="4"/>
        <v>720</v>
      </c>
      <c r="M52" s="28">
        <f t="shared" si="5"/>
        <v>17.874875868917577</v>
      </c>
      <c r="N52" s="12">
        <f t="shared" ref="N52" si="53">N35+N37+N41+N43-N45+N46+N48+N50-N36-N42-N44-N47-N49-N51</f>
        <v>-3814</v>
      </c>
      <c r="O52" s="30">
        <f t="shared" si="6"/>
        <v>-506</v>
      </c>
      <c r="P52" s="29">
        <f t="shared" si="7"/>
        <v>-15.296251511487306</v>
      </c>
    </row>
    <row r="53" spans="2:16" ht="15" thickBot="1">
      <c r="B53" s="9" t="s">
        <v>82</v>
      </c>
      <c r="C53" s="5" t="s">
        <v>83</v>
      </c>
      <c r="D53" s="8">
        <f>SUM(D54:D55)</f>
        <v>10728</v>
      </c>
      <c r="E53" s="8">
        <f t="shared" ref="E53" si="54">SUM(E54:E55)</f>
        <v>8614</v>
      </c>
      <c r="F53" s="30">
        <f t="shared" si="0"/>
        <v>-2114</v>
      </c>
      <c r="G53" s="28">
        <f t="shared" si="1"/>
        <v>-19.705443698732289</v>
      </c>
      <c r="H53" s="8">
        <f t="shared" ref="H53" si="55">SUM(H54:H55)</f>
        <v>5346</v>
      </c>
      <c r="I53" s="30">
        <f t="shared" si="2"/>
        <v>-3268</v>
      </c>
      <c r="J53" s="28">
        <f t="shared" si="3"/>
        <v>-37.938240074297653</v>
      </c>
      <c r="K53" s="8">
        <f t="shared" ref="K53" si="56">SUM(K54:K55)</f>
        <v>8723</v>
      </c>
      <c r="L53" s="30">
        <f t="shared" si="4"/>
        <v>3377</v>
      </c>
      <c r="M53" s="28">
        <f t="shared" si="5"/>
        <v>63.168724279835388</v>
      </c>
      <c r="N53" s="8">
        <f t="shared" ref="N53" si="57">SUM(N54:N55)</f>
        <v>5256</v>
      </c>
      <c r="O53" s="30">
        <f t="shared" si="6"/>
        <v>-3467</v>
      </c>
      <c r="P53" s="29">
        <f t="shared" si="7"/>
        <v>-39.745500401238104</v>
      </c>
    </row>
    <row r="54" spans="2:16" ht="15" thickBot="1">
      <c r="B54" s="9" t="s">
        <v>9</v>
      </c>
      <c r="C54" s="5" t="s">
        <v>84</v>
      </c>
      <c r="D54" s="7">
        <v>9807</v>
      </c>
      <c r="E54" s="7">
        <v>7421</v>
      </c>
      <c r="F54" s="27">
        <f t="shared" si="0"/>
        <v>-2386</v>
      </c>
      <c r="G54" s="28">
        <f t="shared" si="1"/>
        <v>-24.329560517997347</v>
      </c>
      <c r="H54" s="7">
        <v>4825</v>
      </c>
      <c r="I54" s="27">
        <f t="shared" si="2"/>
        <v>-2596</v>
      </c>
      <c r="J54" s="28">
        <f t="shared" si="3"/>
        <v>-34.981808381619729</v>
      </c>
      <c r="K54" s="7">
        <v>7933</v>
      </c>
      <c r="L54" s="27">
        <f t="shared" si="4"/>
        <v>3108</v>
      </c>
      <c r="M54" s="28">
        <f>(K54-H54)/ABS(H54)*100</f>
        <v>64.414507772020727</v>
      </c>
      <c r="N54" s="7">
        <v>4421</v>
      </c>
      <c r="O54" s="27">
        <f t="shared" si="6"/>
        <v>-3512</v>
      </c>
      <c r="P54" s="29">
        <f t="shared" si="7"/>
        <v>-44.270767679314254</v>
      </c>
    </row>
    <row r="55" spans="2:16" ht="15" thickBot="1">
      <c r="B55" s="9" t="s">
        <v>11</v>
      </c>
      <c r="C55" s="5" t="s">
        <v>85</v>
      </c>
      <c r="D55" s="7">
        <v>921</v>
      </c>
      <c r="E55" s="7">
        <v>1193</v>
      </c>
      <c r="F55" s="27">
        <f t="shared" si="0"/>
        <v>272</v>
      </c>
      <c r="G55" s="28">
        <f t="shared" si="1"/>
        <v>29.533116178067321</v>
      </c>
      <c r="H55" s="7">
        <v>521</v>
      </c>
      <c r="I55" s="27">
        <f t="shared" si="2"/>
        <v>-672</v>
      </c>
      <c r="J55" s="28">
        <f t="shared" si="3"/>
        <v>-56.328583403185249</v>
      </c>
      <c r="K55" s="7">
        <v>790</v>
      </c>
      <c r="L55" s="27">
        <f t="shared" si="4"/>
        <v>269</v>
      </c>
      <c r="M55" s="28">
        <f t="shared" si="5"/>
        <v>51.631477927063344</v>
      </c>
      <c r="N55" s="7">
        <v>835</v>
      </c>
      <c r="O55" s="27">
        <f t="shared" si="6"/>
        <v>45</v>
      </c>
      <c r="P55" s="29">
        <f t="shared" si="7"/>
        <v>5.6962025316455698</v>
      </c>
    </row>
    <row r="56" spans="2:16" ht="15" thickBot="1">
      <c r="B56" s="9" t="s">
        <v>86</v>
      </c>
      <c r="C56" s="6" t="s">
        <v>87</v>
      </c>
      <c r="D56" s="12">
        <f>D34+D52-D53</f>
        <v>26706.395000000004</v>
      </c>
      <c r="E56" s="12">
        <f t="shared" ref="E56" si="58">E34+E52-E53</f>
        <v>24700.505000000005</v>
      </c>
      <c r="F56" s="30">
        <f t="shared" si="0"/>
        <v>-2005.8899999999994</v>
      </c>
      <c r="G56" s="28">
        <f t="shared" si="1"/>
        <v>-7.5108976707638719</v>
      </c>
      <c r="H56" s="12">
        <f t="shared" ref="H56" si="59">H34+H52-H53</f>
        <v>20331.857000000004</v>
      </c>
      <c r="I56" s="30">
        <f t="shared" si="2"/>
        <v>-4368.648000000001</v>
      </c>
      <c r="J56" s="28">
        <f t="shared" si="3"/>
        <v>-17.686472402082469</v>
      </c>
      <c r="K56" s="12">
        <f t="shared" ref="K56" si="60">K34+K52-K53</f>
        <v>27043.835999999996</v>
      </c>
      <c r="L56" s="30">
        <f>K56-H56</f>
        <v>6711.9789999999921</v>
      </c>
      <c r="M56" s="28">
        <f t="shared" si="5"/>
        <v>33.012129683973242</v>
      </c>
      <c r="N56" s="12">
        <f t="shared" ref="N56" si="61">N34+N52-N53</f>
        <v>19483.725000000006</v>
      </c>
      <c r="O56" s="30">
        <f t="shared" si="6"/>
        <v>-7560.1109999999899</v>
      </c>
      <c r="P56" s="29">
        <f t="shared" si="7"/>
        <v>-27.955024575655578</v>
      </c>
    </row>
    <row r="57" spans="2:16" ht="15" thickBot="1">
      <c r="B57" s="9" t="s">
        <v>88</v>
      </c>
      <c r="C57" s="5" t="s">
        <v>89</v>
      </c>
      <c r="D57" s="7">
        <v>0</v>
      </c>
      <c r="E57" s="7">
        <v>0</v>
      </c>
      <c r="F57" s="27">
        <f t="shared" si="0"/>
        <v>0</v>
      </c>
      <c r="G57" s="28" t="s">
        <v>227</v>
      </c>
      <c r="H57" s="7">
        <v>0</v>
      </c>
      <c r="I57" s="27">
        <f t="shared" si="2"/>
        <v>0</v>
      </c>
      <c r="J57" s="28" t="s">
        <v>227</v>
      </c>
      <c r="K57" s="7">
        <v>0</v>
      </c>
      <c r="L57" s="27">
        <f t="shared" si="4"/>
        <v>0</v>
      </c>
      <c r="M57" s="28" t="s">
        <v>227</v>
      </c>
      <c r="N57" s="7">
        <v>0</v>
      </c>
      <c r="O57" s="27">
        <f t="shared" si="6"/>
        <v>0</v>
      </c>
      <c r="P57" s="28" t="s">
        <v>227</v>
      </c>
    </row>
    <row r="58" spans="2:16" ht="15" thickBot="1">
      <c r="B58" s="9" t="s">
        <v>90</v>
      </c>
      <c r="C58" s="5" t="s">
        <v>91</v>
      </c>
      <c r="D58" s="7">
        <v>0</v>
      </c>
      <c r="E58" s="7">
        <v>0</v>
      </c>
      <c r="F58" s="27">
        <f t="shared" si="0"/>
        <v>0</v>
      </c>
      <c r="G58" s="28" t="s">
        <v>227</v>
      </c>
      <c r="H58" s="7">
        <v>0</v>
      </c>
      <c r="I58" s="27">
        <f t="shared" si="2"/>
        <v>0</v>
      </c>
      <c r="J58" s="28" t="s">
        <v>227</v>
      </c>
      <c r="K58" s="7">
        <v>0</v>
      </c>
      <c r="L58" s="27">
        <f t="shared" si="4"/>
        <v>0</v>
      </c>
      <c r="M58" s="28" t="s">
        <v>227</v>
      </c>
      <c r="N58" s="7">
        <v>0</v>
      </c>
      <c r="O58" s="27">
        <f t="shared" si="6"/>
        <v>0</v>
      </c>
      <c r="P58" s="28" t="s">
        <v>227</v>
      </c>
    </row>
    <row r="59" spans="2:16" ht="15" thickBot="1">
      <c r="B59" s="9" t="s">
        <v>92</v>
      </c>
      <c r="C59" s="5" t="s">
        <v>93</v>
      </c>
      <c r="D59" s="8">
        <v>0</v>
      </c>
      <c r="E59" s="8">
        <v>0</v>
      </c>
      <c r="F59" s="27">
        <f t="shared" si="0"/>
        <v>0</v>
      </c>
      <c r="G59" s="28" t="s">
        <v>227</v>
      </c>
      <c r="H59" s="8">
        <v>0</v>
      </c>
      <c r="I59" s="27">
        <f t="shared" si="2"/>
        <v>0</v>
      </c>
      <c r="J59" s="28" t="s">
        <v>227</v>
      </c>
      <c r="K59" s="8">
        <v>0</v>
      </c>
      <c r="L59" s="27">
        <f t="shared" si="4"/>
        <v>0</v>
      </c>
      <c r="M59" s="28" t="s">
        <v>227</v>
      </c>
      <c r="N59" s="8">
        <v>0</v>
      </c>
      <c r="O59" s="27">
        <f t="shared" si="6"/>
        <v>0</v>
      </c>
      <c r="P59" s="28" t="s">
        <v>227</v>
      </c>
    </row>
    <row r="60" spans="2:16" ht="15" thickBot="1">
      <c r="B60" s="9" t="s">
        <v>9</v>
      </c>
      <c r="C60" s="5" t="s">
        <v>84</v>
      </c>
      <c r="D60" s="7">
        <v>0</v>
      </c>
      <c r="E60" s="7">
        <v>0</v>
      </c>
      <c r="F60" s="27">
        <f t="shared" si="0"/>
        <v>0</v>
      </c>
      <c r="G60" s="28" t="s">
        <v>227</v>
      </c>
      <c r="H60" s="7">
        <v>0</v>
      </c>
      <c r="I60" s="27">
        <f t="shared" si="2"/>
        <v>0</v>
      </c>
      <c r="J60" s="28" t="s">
        <v>227</v>
      </c>
      <c r="K60" s="7">
        <v>0</v>
      </c>
      <c r="L60" s="27">
        <f t="shared" si="4"/>
        <v>0</v>
      </c>
      <c r="M60" s="28" t="s">
        <v>227</v>
      </c>
      <c r="N60" s="7">
        <v>0</v>
      </c>
      <c r="O60" s="27">
        <f t="shared" si="6"/>
        <v>0</v>
      </c>
      <c r="P60" s="28" t="s">
        <v>227</v>
      </c>
    </row>
    <row r="61" spans="2:16" ht="15" thickBot="1">
      <c r="B61" s="9" t="s">
        <v>11</v>
      </c>
      <c r="C61" s="5" t="s">
        <v>85</v>
      </c>
      <c r="D61" s="7">
        <v>0</v>
      </c>
      <c r="E61" s="7">
        <v>0</v>
      </c>
      <c r="F61" s="27">
        <f t="shared" si="0"/>
        <v>0</v>
      </c>
      <c r="G61" s="28" t="s">
        <v>227</v>
      </c>
      <c r="H61" s="7">
        <v>0</v>
      </c>
      <c r="I61" s="27">
        <f t="shared" si="2"/>
        <v>0</v>
      </c>
      <c r="J61" s="28" t="s">
        <v>227</v>
      </c>
      <c r="K61" s="7">
        <v>0</v>
      </c>
      <c r="L61" s="27">
        <f t="shared" si="4"/>
        <v>0</v>
      </c>
      <c r="M61" s="28" t="s">
        <v>227</v>
      </c>
      <c r="N61" s="7">
        <v>0</v>
      </c>
      <c r="O61" s="27">
        <f t="shared" si="6"/>
        <v>0</v>
      </c>
      <c r="P61" s="28" t="s">
        <v>227</v>
      </c>
    </row>
    <row r="62" spans="2:16" ht="15" thickBot="1">
      <c r="B62" s="15" t="s">
        <v>48</v>
      </c>
      <c r="C62" s="14" t="s">
        <v>94</v>
      </c>
      <c r="D62" s="8">
        <f>D57-D58</f>
        <v>0</v>
      </c>
      <c r="E62" s="8">
        <f t="shared" ref="E62" si="62">E57-E58</f>
        <v>0</v>
      </c>
      <c r="F62" s="27">
        <f t="shared" si="0"/>
        <v>0</v>
      </c>
      <c r="G62" s="28" t="s">
        <v>227</v>
      </c>
      <c r="H62" s="8">
        <f t="shared" ref="H62" si="63">H57-H58</f>
        <v>0</v>
      </c>
      <c r="I62" s="27">
        <f t="shared" si="2"/>
        <v>0</v>
      </c>
      <c r="J62" s="28" t="s">
        <v>227</v>
      </c>
      <c r="K62" s="8">
        <f t="shared" ref="K62" si="64">K57-K58</f>
        <v>0</v>
      </c>
      <c r="L62" s="27">
        <f t="shared" si="4"/>
        <v>0</v>
      </c>
      <c r="M62" s="28" t="s">
        <v>227</v>
      </c>
      <c r="N62" s="8">
        <f t="shared" ref="N62" si="65">N57-N58</f>
        <v>0</v>
      </c>
      <c r="O62" s="27">
        <f t="shared" si="6"/>
        <v>0</v>
      </c>
      <c r="P62" s="28" t="s">
        <v>227</v>
      </c>
    </row>
    <row r="63" spans="2:16" ht="15" thickBot="1">
      <c r="B63" s="9" t="s">
        <v>95</v>
      </c>
      <c r="C63" s="5" t="s">
        <v>96</v>
      </c>
      <c r="D63" s="7">
        <v>0</v>
      </c>
      <c r="E63" s="7">
        <v>0</v>
      </c>
      <c r="F63" s="27">
        <f t="shared" si="0"/>
        <v>0</v>
      </c>
      <c r="G63" s="28" t="s">
        <v>227</v>
      </c>
      <c r="H63" s="7">
        <v>0</v>
      </c>
      <c r="I63" s="27">
        <f t="shared" si="2"/>
        <v>0</v>
      </c>
      <c r="J63" s="28" t="s">
        <v>227</v>
      </c>
      <c r="K63" s="7">
        <v>0</v>
      </c>
      <c r="L63" s="27">
        <f t="shared" si="4"/>
        <v>0</v>
      </c>
      <c r="M63" s="28" t="s">
        <v>227</v>
      </c>
      <c r="N63" s="7">
        <v>0</v>
      </c>
      <c r="O63" s="27">
        <f t="shared" si="6"/>
        <v>0</v>
      </c>
      <c r="P63" s="28" t="s">
        <v>227</v>
      </c>
    </row>
    <row r="64" spans="2:16" ht="15" thickBot="1">
      <c r="B64" s="15" t="s">
        <v>97</v>
      </c>
      <c r="C64" s="6" t="s">
        <v>98</v>
      </c>
      <c r="D64" s="12">
        <f>D56+D62</f>
        <v>26706.395000000004</v>
      </c>
      <c r="E64" s="12">
        <f t="shared" ref="E64" si="66">E56+E62</f>
        <v>24700.505000000005</v>
      </c>
      <c r="F64" s="30">
        <f t="shared" si="0"/>
        <v>-2005.8899999999994</v>
      </c>
      <c r="G64" s="28">
        <f t="shared" si="1"/>
        <v>-7.5108976707638719</v>
      </c>
      <c r="H64" s="12">
        <f t="shared" ref="H64" si="67">H56+H62</f>
        <v>20331.857000000004</v>
      </c>
      <c r="I64" s="30">
        <f t="shared" si="2"/>
        <v>-4368.648000000001</v>
      </c>
      <c r="J64" s="28">
        <f t="shared" si="3"/>
        <v>-17.686472402082469</v>
      </c>
      <c r="K64" s="12">
        <f t="shared" ref="K64" si="68">K56+K62</f>
        <v>27043.835999999996</v>
      </c>
      <c r="L64" s="30">
        <f t="shared" si="4"/>
        <v>6711.9789999999921</v>
      </c>
      <c r="M64" s="28">
        <f>(K64-H64)/ABS(H64)*100</f>
        <v>33.012129683973242</v>
      </c>
      <c r="N64" s="12">
        <f t="shared" ref="N64" si="69">N56+N62</f>
        <v>19483.725000000006</v>
      </c>
      <c r="O64" s="30">
        <f t="shared" si="6"/>
        <v>-7560.1109999999899</v>
      </c>
      <c r="P64" s="29">
        <f t="shared" si="7"/>
        <v>-27.955024575655578</v>
      </c>
    </row>
    <row r="65" spans="2:16" ht="15" thickBot="1">
      <c r="B65" s="1" t="s">
        <v>99</v>
      </c>
      <c r="C65" s="17" t="s">
        <v>100</v>
      </c>
      <c r="D65" s="12">
        <f>D34+D52+D62</f>
        <v>37434.395000000004</v>
      </c>
      <c r="E65" s="12">
        <f>E34+E52+E62</f>
        <v>33314.505000000005</v>
      </c>
      <c r="F65" s="30">
        <f t="shared" si="0"/>
        <v>-4119.8899999999994</v>
      </c>
      <c r="G65" s="28">
        <f t="shared" si="1"/>
        <v>-11.005627311460486</v>
      </c>
      <c r="H65" s="12">
        <f t="shared" ref="H65" si="70">H34+H52+H62</f>
        <v>25677.857000000004</v>
      </c>
      <c r="I65" s="30">
        <f t="shared" si="2"/>
        <v>-7636.648000000001</v>
      </c>
      <c r="J65" s="28">
        <f t="shared" si="3"/>
        <v>-22.922891995543683</v>
      </c>
      <c r="K65" s="12">
        <f t="shared" ref="K65" si="71">K34+K52+K62</f>
        <v>35766.835999999996</v>
      </c>
      <c r="L65" s="30">
        <f t="shared" si="4"/>
        <v>10088.978999999992</v>
      </c>
      <c r="M65" s="28">
        <f t="shared" si="5"/>
        <v>39.290580206907414</v>
      </c>
      <c r="N65" s="12">
        <f t="shared" ref="N65" si="72">N34+N52+N62</f>
        <v>24739.725000000006</v>
      </c>
      <c r="O65" s="30">
        <f t="shared" si="6"/>
        <v>-11027.11099999999</v>
      </c>
      <c r="P65" s="29">
        <f t="shared" si="7"/>
        <v>-30.830546487254257</v>
      </c>
    </row>
    <row r="67" spans="2:16">
      <c r="E67" s="10"/>
      <c r="F67" s="10"/>
      <c r="G67" s="10"/>
      <c r="H67" s="10"/>
      <c r="I67" s="10"/>
      <c r="J67" s="10"/>
      <c r="N67" s="10"/>
      <c r="O67" s="10"/>
    </row>
  </sheetData>
  <mergeCells count="7">
    <mergeCell ref="O3:P3"/>
    <mergeCell ref="F3:G3"/>
    <mergeCell ref="D3:D4"/>
    <mergeCell ref="E3:E4"/>
    <mergeCell ref="H3:H4"/>
    <mergeCell ref="I3:J3"/>
    <mergeCell ref="L3:M3"/>
  </mergeCells>
  <pageMargins left="0.7" right="0.7" top="0.78740157499999996" bottom="0.78740157499999996" header="0.3" footer="0.3"/>
  <pageSetup paperSize="9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workbookViewId="0">
      <selection activeCell="J67" sqref="J67"/>
    </sheetView>
  </sheetViews>
  <sheetFormatPr baseColWidth="10" defaultColWidth="8.83203125" defaultRowHeight="14" x14ac:dyDescent="0"/>
  <cols>
    <col min="3" max="3" width="52.1640625" customWidth="1"/>
    <col min="4" max="5" width="7.5" bestFit="1" customWidth="1"/>
    <col min="6" max="6" width="7" bestFit="1" customWidth="1"/>
    <col min="7" max="7" width="9.33203125" customWidth="1"/>
    <col min="8" max="8" width="7.5" bestFit="1" customWidth="1"/>
    <col min="9" max="9" width="7" bestFit="1" customWidth="1"/>
    <col min="10" max="10" width="10.1640625" customWidth="1"/>
    <col min="11" max="11" width="7.5" bestFit="1" customWidth="1"/>
    <col min="12" max="12" width="6.5" bestFit="1" customWidth="1"/>
    <col min="13" max="13" width="10" customWidth="1"/>
    <col min="14" max="14" width="7.5" bestFit="1" customWidth="1"/>
    <col min="15" max="15" width="7" bestFit="1" customWidth="1"/>
    <col min="16" max="16" width="9.5" customWidth="1"/>
    <col min="20" max="20" width="18.1640625" customWidth="1"/>
    <col min="21" max="21" width="18.5" customWidth="1"/>
  </cols>
  <sheetData>
    <row r="1" spans="1:21">
      <c r="B1" s="16" t="s">
        <v>278</v>
      </c>
    </row>
    <row r="2" spans="1:21" ht="15" thickBot="1"/>
    <row r="3" spans="1:21" ht="30.75" customHeight="1" thickBot="1">
      <c r="B3" s="40" t="s">
        <v>0</v>
      </c>
      <c r="C3" s="41"/>
      <c r="D3" s="340">
        <v>2002</v>
      </c>
      <c r="E3" s="340">
        <v>2003</v>
      </c>
      <c r="F3" s="338" t="s">
        <v>279</v>
      </c>
      <c r="G3" s="339"/>
      <c r="H3" s="340">
        <v>2004</v>
      </c>
      <c r="I3" s="338" t="s">
        <v>280</v>
      </c>
      <c r="J3" s="339"/>
      <c r="K3" s="42">
        <v>2005</v>
      </c>
      <c r="L3" s="338" t="s">
        <v>281</v>
      </c>
      <c r="M3" s="339"/>
      <c r="N3" s="42">
        <v>2006</v>
      </c>
      <c r="O3" s="338" t="s">
        <v>282</v>
      </c>
      <c r="P3" s="339"/>
      <c r="R3" t="s">
        <v>229</v>
      </c>
    </row>
    <row r="4" spans="1:21" ht="15" thickBot="1">
      <c r="B4" s="43"/>
      <c r="C4" s="44"/>
      <c r="D4" s="341"/>
      <c r="E4" s="341"/>
      <c r="F4" s="45" t="s">
        <v>221</v>
      </c>
      <c r="G4" s="45" t="s">
        <v>222</v>
      </c>
      <c r="H4" s="341"/>
      <c r="I4" s="45" t="s">
        <v>221</v>
      </c>
      <c r="J4" s="45" t="s">
        <v>222</v>
      </c>
      <c r="K4" s="46"/>
      <c r="L4" s="45" t="s">
        <v>221</v>
      </c>
      <c r="M4" s="45" t="s">
        <v>222</v>
      </c>
      <c r="N4" s="46"/>
      <c r="O4" s="45" t="s">
        <v>221</v>
      </c>
      <c r="P4" s="45" t="s">
        <v>222</v>
      </c>
      <c r="R4" s="79" t="s">
        <v>238</v>
      </c>
      <c r="U4">
        <f>GEOMEAN(G31,J31,M31)</f>
        <v>4.6800767588748356E-2</v>
      </c>
    </row>
    <row r="5" spans="1:21" ht="15" thickBot="1">
      <c r="B5" s="47" t="s">
        <v>1</v>
      </c>
      <c r="C5" s="48" t="s">
        <v>2</v>
      </c>
      <c r="D5" s="132">
        <v>43321</v>
      </c>
      <c r="E5" s="132">
        <v>37245</v>
      </c>
      <c r="F5" s="50">
        <f>E5-D5</f>
        <v>-6076</v>
      </c>
      <c r="G5" s="138">
        <f>(E5-D5)/ABS(D5)*100</f>
        <v>-14.025530343251541</v>
      </c>
      <c r="H5" s="132">
        <v>42932</v>
      </c>
      <c r="I5" s="50">
        <f>H5-E5</f>
        <v>5687</v>
      </c>
      <c r="J5" s="138">
        <f>(H5-E5)/ABS(E5)*100</f>
        <v>15.269163646126996</v>
      </c>
      <c r="K5" s="132">
        <v>41156</v>
      </c>
      <c r="L5" s="50">
        <f>K5-H5</f>
        <v>-1776</v>
      </c>
      <c r="M5" s="138">
        <f>(K5-H5)/ABS(H5)*100</f>
        <v>-4.1367744339886334</v>
      </c>
      <c r="N5" s="132">
        <v>44963</v>
      </c>
      <c r="O5" s="50">
        <f>N5-K5</f>
        <v>3807</v>
      </c>
      <c r="P5" s="138">
        <f>(N5-K5)/ABS(K5)*100</f>
        <v>9.2501700845563217</v>
      </c>
      <c r="R5" t="s">
        <v>245</v>
      </c>
      <c r="U5" s="10">
        <f>AVERAGE(D32:E32,H32,K32,N32)</f>
        <v>38578.863599999997</v>
      </c>
    </row>
    <row r="6" spans="1:21" ht="15" thickBot="1">
      <c r="B6" s="47" t="s">
        <v>3</v>
      </c>
      <c r="C6" s="48" t="s">
        <v>4</v>
      </c>
      <c r="D6" s="132">
        <v>36025</v>
      </c>
      <c r="E6" s="132">
        <v>25163</v>
      </c>
      <c r="F6" s="50">
        <f t="shared" ref="F6:F28" si="0">E6-D6</f>
        <v>-10862</v>
      </c>
      <c r="G6" s="138">
        <f t="shared" ref="G6:G28" si="1">(E6-D6)/ABS(D6)*100</f>
        <v>-30.151283830673144</v>
      </c>
      <c r="H6" s="132">
        <v>28142</v>
      </c>
      <c r="I6" s="50">
        <f t="shared" ref="I6:I28" si="2">H6-E6</f>
        <v>2979</v>
      </c>
      <c r="J6" s="138">
        <f t="shared" ref="J6:J28" si="3">(H6-E6)/ABS(E6)*100</f>
        <v>11.838810952589117</v>
      </c>
      <c r="K6" s="132">
        <v>26458</v>
      </c>
      <c r="L6" s="50">
        <f t="shared" ref="L6:L28" si="4">K6-H6</f>
        <v>-1684</v>
      </c>
      <c r="M6" s="138">
        <f t="shared" ref="M6:M28" si="5">(K6-H6)/ABS(H6)*100</f>
        <v>-5.9839385971146335</v>
      </c>
      <c r="N6" s="132">
        <v>29933</v>
      </c>
      <c r="O6" s="50">
        <f t="shared" ref="O6:O28" si="6">N6-K6</f>
        <v>3475</v>
      </c>
      <c r="P6" s="138">
        <f t="shared" ref="P6:P28" si="7">(N6-K6)/ABS(K6)*100</f>
        <v>13.134023735732104</v>
      </c>
      <c r="R6" t="s">
        <v>246</v>
      </c>
      <c r="U6" s="142">
        <f>(K9-D9)/D9</f>
        <v>0.22070478283789458</v>
      </c>
    </row>
    <row r="7" spans="1:21" ht="15" thickBot="1">
      <c r="B7" s="47" t="s">
        <v>5</v>
      </c>
      <c r="C7" s="48" t="s">
        <v>6</v>
      </c>
      <c r="D7" s="133">
        <v>7296</v>
      </c>
      <c r="E7" s="133">
        <v>12082</v>
      </c>
      <c r="F7" s="52">
        <f t="shared" si="0"/>
        <v>4786</v>
      </c>
      <c r="G7" s="138">
        <f t="shared" si="1"/>
        <v>65.597587719298247</v>
      </c>
      <c r="H7" s="133">
        <v>14790</v>
      </c>
      <c r="I7" s="52">
        <f t="shared" si="2"/>
        <v>2708</v>
      </c>
      <c r="J7" s="138">
        <f t="shared" si="3"/>
        <v>22.413507697401091</v>
      </c>
      <c r="K7" s="133">
        <v>14698</v>
      </c>
      <c r="L7" s="52">
        <f t="shared" si="4"/>
        <v>-92</v>
      </c>
      <c r="M7" s="138">
        <f t="shared" si="5"/>
        <v>-0.6220419202163624</v>
      </c>
      <c r="N7" s="133">
        <v>15030</v>
      </c>
      <c r="O7" s="52">
        <f t="shared" si="6"/>
        <v>332</v>
      </c>
      <c r="P7" s="138">
        <f t="shared" si="7"/>
        <v>2.2588107225472851</v>
      </c>
      <c r="R7" t="s">
        <v>247</v>
      </c>
      <c r="U7" s="142">
        <f>(N9-K9)/K9</f>
        <v>-3.4218375450602939E-2</v>
      </c>
    </row>
    <row r="8" spans="1:21" ht="15" thickBot="1">
      <c r="B8" s="47" t="s">
        <v>7</v>
      </c>
      <c r="C8" s="48" t="s">
        <v>8</v>
      </c>
      <c r="D8" s="133">
        <v>224907</v>
      </c>
      <c r="E8" s="133">
        <v>233843</v>
      </c>
      <c r="F8" s="50">
        <f t="shared" si="0"/>
        <v>8936</v>
      </c>
      <c r="G8" s="138">
        <f t="shared" si="1"/>
        <v>3.9731978106506243</v>
      </c>
      <c r="H8" s="133">
        <v>260125</v>
      </c>
      <c r="I8" s="50">
        <f t="shared" si="2"/>
        <v>26282</v>
      </c>
      <c r="J8" s="138">
        <f t="shared" si="3"/>
        <v>11.239164738734964</v>
      </c>
      <c r="K8" s="133">
        <v>278525</v>
      </c>
      <c r="L8" s="50">
        <f t="shared" si="4"/>
        <v>18400</v>
      </c>
      <c r="M8" s="138">
        <f t="shared" si="5"/>
        <v>7.0735223450264302</v>
      </c>
      <c r="N8" s="133">
        <v>263231</v>
      </c>
      <c r="O8" s="50">
        <f t="shared" si="6"/>
        <v>-15294</v>
      </c>
      <c r="P8" s="138">
        <f t="shared" si="7"/>
        <v>-5.4910690243245668</v>
      </c>
      <c r="R8" t="s">
        <v>248</v>
      </c>
      <c r="U8" s="10">
        <f>K30-D30</f>
        <v>50493</v>
      </c>
    </row>
    <row r="9" spans="1:21" ht="15" thickBot="1">
      <c r="B9" s="47" t="s">
        <v>9</v>
      </c>
      <c r="C9" s="48" t="s">
        <v>10</v>
      </c>
      <c r="D9" s="132">
        <v>223842</v>
      </c>
      <c r="E9" s="132">
        <v>232625</v>
      </c>
      <c r="F9" s="50">
        <f t="shared" si="0"/>
        <v>8783</v>
      </c>
      <c r="G9" s="138">
        <f t="shared" si="1"/>
        <v>3.9237497877967495</v>
      </c>
      <c r="H9" s="132">
        <v>253348</v>
      </c>
      <c r="I9" s="50">
        <f t="shared" si="2"/>
        <v>20723</v>
      </c>
      <c r="J9" s="138">
        <f t="shared" si="3"/>
        <v>8.9083288554540569</v>
      </c>
      <c r="K9" s="132">
        <v>273245</v>
      </c>
      <c r="L9" s="50">
        <f t="shared" si="4"/>
        <v>19897</v>
      </c>
      <c r="M9" s="138">
        <f t="shared" si="5"/>
        <v>7.853624263858408</v>
      </c>
      <c r="N9" s="132">
        <v>263895</v>
      </c>
      <c r="O9" s="50">
        <f t="shared" si="6"/>
        <v>-9350</v>
      </c>
      <c r="P9" s="138">
        <f t="shared" si="7"/>
        <v>-3.4218375450602938</v>
      </c>
      <c r="R9" t="s">
        <v>249</v>
      </c>
      <c r="U9" s="142">
        <f>U8/D30</f>
        <v>0.18706515215506703</v>
      </c>
    </row>
    <row r="10" spans="1:21" ht="15" thickBot="1">
      <c r="A10" t="s">
        <v>226</v>
      </c>
      <c r="B10" s="47" t="s">
        <v>15</v>
      </c>
      <c r="C10" s="48" t="s">
        <v>16</v>
      </c>
      <c r="D10" s="133">
        <v>133900</v>
      </c>
      <c r="E10" s="133">
        <v>139788</v>
      </c>
      <c r="F10" s="52">
        <f t="shared" si="0"/>
        <v>5888</v>
      </c>
      <c r="G10" s="138">
        <f t="shared" si="1"/>
        <v>4.3973114264376401</v>
      </c>
      <c r="H10" s="133">
        <v>159790</v>
      </c>
      <c r="I10" s="52">
        <f t="shared" si="2"/>
        <v>20002</v>
      </c>
      <c r="J10" s="138">
        <f t="shared" si="3"/>
        <v>14.308810484447879</v>
      </c>
      <c r="K10" s="133">
        <v>158259</v>
      </c>
      <c r="L10" s="52">
        <f t="shared" si="4"/>
        <v>-1531</v>
      </c>
      <c r="M10" s="138">
        <f t="shared" si="5"/>
        <v>-0.9581325489705238</v>
      </c>
      <c r="N10" s="133">
        <v>151370</v>
      </c>
      <c r="O10" s="52">
        <f t="shared" si="6"/>
        <v>-6889</v>
      </c>
      <c r="P10" s="138">
        <f t="shared" si="7"/>
        <v>-4.35299098313524</v>
      </c>
    </row>
    <row r="11" spans="1:21" ht="15" thickBot="1">
      <c r="B11" s="47" t="s">
        <v>5</v>
      </c>
      <c r="C11" s="48" t="s">
        <v>19</v>
      </c>
      <c r="D11" s="51">
        <v>98303</v>
      </c>
      <c r="E11" s="51">
        <v>106137</v>
      </c>
      <c r="F11" s="52">
        <f t="shared" si="0"/>
        <v>7834</v>
      </c>
      <c r="G11" s="138">
        <f t="shared" si="1"/>
        <v>7.9692379683224317</v>
      </c>
      <c r="H11" s="51">
        <v>115125</v>
      </c>
      <c r="I11" s="52">
        <f t="shared" si="2"/>
        <v>8988</v>
      </c>
      <c r="J11" s="138">
        <f t="shared" si="3"/>
        <v>8.4683004041945793</v>
      </c>
      <c r="K11" s="51">
        <v>134964</v>
      </c>
      <c r="L11" s="52">
        <f t="shared" si="4"/>
        <v>19839</v>
      </c>
      <c r="M11" s="138">
        <f t="shared" si="5"/>
        <v>17.23257328990228</v>
      </c>
      <c r="N11" s="51">
        <v>126891</v>
      </c>
      <c r="O11" s="52">
        <f t="shared" si="6"/>
        <v>-8073</v>
      </c>
      <c r="P11" s="138">
        <f t="shared" si="7"/>
        <v>-5.9815950920245404</v>
      </c>
    </row>
    <row r="12" spans="1:21" ht="15" thickBot="1">
      <c r="B12" s="47" t="s">
        <v>20</v>
      </c>
      <c r="C12" s="48" t="s">
        <v>21</v>
      </c>
      <c r="D12" s="51">
        <v>53818.604999999996</v>
      </c>
      <c r="E12" s="51">
        <v>60111.495000000003</v>
      </c>
      <c r="F12" s="50">
        <f t="shared" si="0"/>
        <v>6292.8900000000067</v>
      </c>
      <c r="G12" s="138">
        <f t="shared" si="1"/>
        <v>11.692777990064974</v>
      </c>
      <c r="H12" s="51">
        <v>68458.142999999996</v>
      </c>
      <c r="I12" s="50">
        <f t="shared" si="2"/>
        <v>8346.6479999999938</v>
      </c>
      <c r="J12" s="138">
        <f t="shared" si="3"/>
        <v>13.885277682746025</v>
      </c>
      <c r="K12" s="51">
        <v>78262.164000000004</v>
      </c>
      <c r="L12" s="50">
        <f t="shared" si="4"/>
        <v>9804.0210000000079</v>
      </c>
      <c r="M12" s="138">
        <f t="shared" si="5"/>
        <v>14.321190395129484</v>
      </c>
      <c r="N12" s="51">
        <v>83665.274999999994</v>
      </c>
      <c r="O12" s="50">
        <f t="shared" si="6"/>
        <v>5403.1109999999899</v>
      </c>
      <c r="P12" s="138">
        <f t="shared" si="7"/>
        <v>6.9038609768060963</v>
      </c>
    </row>
    <row r="13" spans="1:21" ht="15" thickBot="1">
      <c r="B13" s="47" t="s">
        <v>27</v>
      </c>
      <c r="C13" s="48" t="s">
        <v>28</v>
      </c>
      <c r="D13" s="49">
        <v>148</v>
      </c>
      <c r="E13" s="53">
        <v>195</v>
      </c>
      <c r="F13" s="50">
        <f t="shared" si="0"/>
        <v>47</v>
      </c>
      <c r="G13" s="138">
        <f t="shared" si="1"/>
        <v>31.756756756756754</v>
      </c>
      <c r="H13" s="53">
        <v>238</v>
      </c>
      <c r="I13" s="50">
        <f t="shared" si="2"/>
        <v>43</v>
      </c>
      <c r="J13" s="138">
        <f t="shared" si="3"/>
        <v>22.051282051282051</v>
      </c>
      <c r="K13" s="53">
        <v>242</v>
      </c>
      <c r="L13" s="50">
        <f t="shared" si="4"/>
        <v>4</v>
      </c>
      <c r="M13" s="138">
        <f t="shared" si="5"/>
        <v>1.680672268907563</v>
      </c>
      <c r="N13" s="53">
        <v>328</v>
      </c>
      <c r="O13" s="50">
        <f t="shared" si="6"/>
        <v>86</v>
      </c>
      <c r="P13" s="138">
        <f t="shared" si="7"/>
        <v>35.537190082644628</v>
      </c>
    </row>
    <row r="14" spans="1:21" ht="15" thickBot="1">
      <c r="B14" s="47" t="s">
        <v>29</v>
      </c>
      <c r="C14" s="48" t="s">
        <v>30</v>
      </c>
      <c r="D14" s="49">
        <v>9996</v>
      </c>
      <c r="E14" s="49">
        <v>12345</v>
      </c>
      <c r="F14" s="50">
        <f t="shared" si="0"/>
        <v>2349</v>
      </c>
      <c r="G14" s="138">
        <f t="shared" si="1"/>
        <v>23.499399759903959</v>
      </c>
      <c r="H14" s="49">
        <v>17021</v>
      </c>
      <c r="I14" s="50">
        <f t="shared" si="2"/>
        <v>4676</v>
      </c>
      <c r="J14" s="138">
        <f t="shared" si="3"/>
        <v>37.877683272579993</v>
      </c>
      <c r="K14" s="49">
        <v>18145</v>
      </c>
      <c r="L14" s="50">
        <f t="shared" si="4"/>
        <v>1124</v>
      </c>
      <c r="M14" s="138">
        <f t="shared" si="5"/>
        <v>6.6036073086187654</v>
      </c>
      <c r="N14" s="49">
        <v>17121</v>
      </c>
      <c r="O14" s="50">
        <f t="shared" si="6"/>
        <v>-1024</v>
      </c>
      <c r="P14" s="138">
        <f t="shared" si="7"/>
        <v>-5.6434279415817032</v>
      </c>
    </row>
    <row r="15" spans="1:21" ht="15" thickBot="1">
      <c r="B15" s="47" t="s">
        <v>31</v>
      </c>
      <c r="C15" s="48" t="s">
        <v>32</v>
      </c>
      <c r="D15" s="133">
        <v>2759</v>
      </c>
      <c r="E15" s="133">
        <v>4263</v>
      </c>
      <c r="F15" s="30">
        <f t="shared" si="0"/>
        <v>1504</v>
      </c>
      <c r="G15" s="139">
        <f t="shared" si="1"/>
        <v>54.512504530627041</v>
      </c>
      <c r="H15" s="133">
        <v>1017</v>
      </c>
      <c r="I15" s="30">
        <f t="shared" si="2"/>
        <v>-3246</v>
      </c>
      <c r="J15" s="139">
        <f t="shared" si="3"/>
        <v>-76.143560872624917</v>
      </c>
      <c r="K15" s="133">
        <v>6014</v>
      </c>
      <c r="L15" s="30">
        <f t="shared" si="4"/>
        <v>4997</v>
      </c>
      <c r="M15" s="139">
        <f t="shared" si="5"/>
        <v>491.34709931170113</v>
      </c>
      <c r="N15" s="133">
        <v>5728</v>
      </c>
      <c r="O15" s="30">
        <f>N15-K15</f>
        <v>-286</v>
      </c>
      <c r="P15" s="141">
        <f t="shared" si="7"/>
        <v>-4.7555703358829398</v>
      </c>
    </row>
    <row r="16" spans="1:21" ht="15" thickBot="1">
      <c r="B16" s="47" t="s">
        <v>35</v>
      </c>
      <c r="C16" s="48" t="s">
        <v>36</v>
      </c>
      <c r="D16" s="51">
        <v>1712</v>
      </c>
      <c r="E16" s="51">
        <v>2758</v>
      </c>
      <c r="F16" s="52">
        <f t="shared" si="0"/>
        <v>1046</v>
      </c>
      <c r="G16" s="138">
        <f t="shared" si="1"/>
        <v>61.098130841121502</v>
      </c>
      <c r="H16" s="54">
        <v>561</v>
      </c>
      <c r="I16" s="52">
        <f t="shared" si="2"/>
        <v>-2197</v>
      </c>
      <c r="J16" s="138">
        <f t="shared" si="3"/>
        <v>-79.659173313995652</v>
      </c>
      <c r="K16" s="51">
        <v>5358</v>
      </c>
      <c r="L16" s="52">
        <f t="shared" si="4"/>
        <v>4797</v>
      </c>
      <c r="M16" s="138">
        <f t="shared" si="5"/>
        <v>855.08021390374336</v>
      </c>
      <c r="N16" s="54">
        <v>3622</v>
      </c>
      <c r="O16" s="52">
        <f t="shared" si="6"/>
        <v>-1736</v>
      </c>
      <c r="P16" s="138">
        <f t="shared" si="7"/>
        <v>-32.400149309443819</v>
      </c>
    </row>
    <row r="17" spans="2:16" ht="15" thickBot="1">
      <c r="B17" s="47" t="s">
        <v>41</v>
      </c>
      <c r="C17" s="48" t="s">
        <v>42</v>
      </c>
      <c r="D17" s="132">
        <v>19625</v>
      </c>
      <c r="E17" s="134">
        <v>30942</v>
      </c>
      <c r="F17" s="50">
        <f t="shared" si="0"/>
        <v>11317</v>
      </c>
      <c r="G17" s="138">
        <f t="shared" si="1"/>
        <v>57.666242038216566</v>
      </c>
      <c r="H17" s="134">
        <v>8263</v>
      </c>
      <c r="I17" s="50">
        <f t="shared" si="2"/>
        <v>-22679</v>
      </c>
      <c r="J17" s="138">
        <f t="shared" si="3"/>
        <v>-73.295197466227137</v>
      </c>
      <c r="K17" s="134">
        <v>4155</v>
      </c>
      <c r="L17" s="50">
        <f t="shared" si="4"/>
        <v>-4108</v>
      </c>
      <c r="M17" s="138">
        <f t="shared" si="5"/>
        <v>-49.715599661140018</v>
      </c>
      <c r="N17" s="134">
        <v>1563</v>
      </c>
      <c r="O17" s="50">
        <f t="shared" si="6"/>
        <v>-2592</v>
      </c>
      <c r="P17" s="138">
        <f t="shared" si="7"/>
        <v>-62.382671480144403</v>
      </c>
    </row>
    <row r="18" spans="2:16" ht="15" thickBot="1">
      <c r="B18" s="47" t="s">
        <v>43</v>
      </c>
      <c r="C18" s="48" t="s">
        <v>44</v>
      </c>
      <c r="D18" s="132">
        <v>17845</v>
      </c>
      <c r="E18" s="132">
        <v>30942</v>
      </c>
      <c r="F18" s="50">
        <f t="shared" si="0"/>
        <v>13097</v>
      </c>
      <c r="G18" s="138">
        <f t="shared" si="1"/>
        <v>73.393107312972816</v>
      </c>
      <c r="H18" s="134">
        <v>8963</v>
      </c>
      <c r="I18" s="50">
        <f t="shared" si="2"/>
        <v>-21979</v>
      </c>
      <c r="J18" s="138">
        <f t="shared" si="3"/>
        <v>-71.032900265011961</v>
      </c>
      <c r="K18" s="132">
        <v>3325</v>
      </c>
      <c r="L18" s="50">
        <f t="shared" si="4"/>
        <v>-5638</v>
      </c>
      <c r="M18" s="138">
        <f t="shared" si="5"/>
        <v>-62.903045855182413</v>
      </c>
      <c r="N18" s="134">
        <v>985</v>
      </c>
      <c r="O18" s="50">
        <f t="shared" si="6"/>
        <v>-2340</v>
      </c>
      <c r="P18" s="138">
        <f t="shared" si="7"/>
        <v>-70.375939849624061</v>
      </c>
    </row>
    <row r="19" spans="2:16" ht="15" thickBot="1">
      <c r="B19" s="47" t="s">
        <v>48</v>
      </c>
      <c r="C19" s="55" t="s">
        <v>49</v>
      </c>
      <c r="D19" s="51">
        <v>40862.395000000004</v>
      </c>
      <c r="E19" s="51">
        <v>36283.505000000005</v>
      </c>
      <c r="F19" s="52">
        <f t="shared" si="0"/>
        <v>-4578.8899999999994</v>
      </c>
      <c r="G19" s="138">
        <f t="shared" si="1"/>
        <v>-11.205632954211321</v>
      </c>
      <c r="H19" s="51">
        <v>29705.857000000004</v>
      </c>
      <c r="I19" s="52">
        <f>H19-E19</f>
        <v>-6577.648000000001</v>
      </c>
      <c r="J19" s="138">
        <f t="shared" si="3"/>
        <v>-18.128480145454525</v>
      </c>
      <c r="K19" s="51">
        <v>39074.835999999996</v>
      </c>
      <c r="L19" s="52">
        <f t="shared" si="4"/>
        <v>9368.9789999999921</v>
      </c>
      <c r="M19" s="138">
        <f t="shared" si="5"/>
        <v>31.539164145306398</v>
      </c>
      <c r="N19" s="51">
        <v>28553.725000000006</v>
      </c>
      <c r="O19" s="52">
        <f t="shared" si="6"/>
        <v>-10521.11099999999</v>
      </c>
      <c r="P19" s="138">
        <f t="shared" si="7"/>
        <v>-26.925541031061499</v>
      </c>
    </row>
    <row r="20" spans="2:16" ht="15" thickBot="1">
      <c r="B20" s="47" t="s">
        <v>69</v>
      </c>
      <c r="C20" s="48" t="s">
        <v>70</v>
      </c>
      <c r="D20" s="7">
        <v>45</v>
      </c>
      <c r="E20" s="7">
        <v>33</v>
      </c>
      <c r="F20" s="50">
        <f t="shared" si="0"/>
        <v>-12</v>
      </c>
      <c r="G20" s="138">
        <f t="shared" si="1"/>
        <v>-26.666666666666668</v>
      </c>
      <c r="H20" s="7">
        <v>22</v>
      </c>
      <c r="I20" s="50">
        <f t="shared" si="2"/>
        <v>-11</v>
      </c>
      <c r="J20" s="138">
        <f t="shared" si="3"/>
        <v>-33.333333333333329</v>
      </c>
      <c r="K20" s="7">
        <v>18</v>
      </c>
      <c r="L20" s="50">
        <f t="shared" si="4"/>
        <v>-4</v>
      </c>
      <c r="M20" s="138">
        <f t="shared" si="5"/>
        <v>-18.181818181818183</v>
      </c>
      <c r="N20" s="7">
        <v>8</v>
      </c>
      <c r="O20" s="50">
        <f t="shared" si="6"/>
        <v>-10</v>
      </c>
      <c r="P20" s="138">
        <f t="shared" si="7"/>
        <v>-55.555555555555557</v>
      </c>
    </row>
    <row r="21" spans="2:16" ht="15" thickBot="1">
      <c r="B21" s="47" t="s">
        <v>71</v>
      </c>
      <c r="C21" s="48" t="s">
        <v>72</v>
      </c>
      <c r="D21" s="7">
        <v>1933</v>
      </c>
      <c r="E21" s="7">
        <v>1302</v>
      </c>
      <c r="F21" s="50">
        <f t="shared" si="0"/>
        <v>-631</v>
      </c>
      <c r="G21" s="138">
        <f t="shared" si="1"/>
        <v>-32.643559234350747</v>
      </c>
      <c r="H21" s="7">
        <v>1495</v>
      </c>
      <c r="I21" s="50">
        <f t="shared" si="2"/>
        <v>193</v>
      </c>
      <c r="J21" s="138">
        <f t="shared" si="3"/>
        <v>14.823348694316435</v>
      </c>
      <c r="K21" s="7">
        <v>1021</v>
      </c>
      <c r="L21" s="50">
        <f t="shared" si="4"/>
        <v>-474</v>
      </c>
      <c r="M21" s="138">
        <f t="shared" si="5"/>
        <v>-31.705685618729095</v>
      </c>
      <c r="N21" s="7">
        <v>1222</v>
      </c>
      <c r="O21" s="50">
        <f t="shared" si="6"/>
        <v>201</v>
      </c>
      <c r="P21" s="138">
        <f t="shared" si="7"/>
        <v>19.686581782566112</v>
      </c>
    </row>
    <row r="22" spans="2:16" ht="15" thickBot="1">
      <c r="B22" s="47" t="s">
        <v>73</v>
      </c>
      <c r="C22" s="48" t="s">
        <v>74</v>
      </c>
      <c r="D22" s="7">
        <v>593</v>
      </c>
      <c r="E22" s="7">
        <v>426</v>
      </c>
      <c r="F22" s="50">
        <f t="shared" si="0"/>
        <v>-167</v>
      </c>
      <c r="G22" s="138">
        <f t="shared" si="1"/>
        <v>-28.161888701517707</v>
      </c>
      <c r="H22" s="7">
        <v>573</v>
      </c>
      <c r="I22" s="50">
        <f t="shared" si="2"/>
        <v>147</v>
      </c>
      <c r="J22" s="138">
        <f t="shared" si="3"/>
        <v>34.507042253521128</v>
      </c>
      <c r="K22" s="7">
        <v>528</v>
      </c>
      <c r="L22" s="50">
        <f t="shared" si="4"/>
        <v>-45</v>
      </c>
      <c r="M22" s="138">
        <f t="shared" si="5"/>
        <v>-7.8534031413612562</v>
      </c>
      <c r="N22" s="7">
        <v>321</v>
      </c>
      <c r="O22" s="50">
        <f t="shared" si="6"/>
        <v>-207</v>
      </c>
      <c r="P22" s="138">
        <f t="shared" si="7"/>
        <v>-39.204545454545453</v>
      </c>
    </row>
    <row r="23" spans="2:16" ht="15" thickBot="1">
      <c r="B23" s="47" t="s">
        <v>75</v>
      </c>
      <c r="C23" s="48" t="s">
        <v>76</v>
      </c>
      <c r="D23" s="7">
        <v>2133</v>
      </c>
      <c r="E23" s="7">
        <v>2126</v>
      </c>
      <c r="F23" s="50">
        <f t="shared" si="0"/>
        <v>-7</v>
      </c>
      <c r="G23" s="138">
        <f t="shared" si="1"/>
        <v>-0.32817627754336615</v>
      </c>
      <c r="H23" s="7">
        <v>3128</v>
      </c>
      <c r="I23" s="50">
        <f t="shared" si="2"/>
        <v>1002</v>
      </c>
      <c r="J23" s="138">
        <f>(H23-E23)/ABS(E23)*100</f>
        <v>47.130761994355595</v>
      </c>
      <c r="K23" s="7">
        <v>2833</v>
      </c>
      <c r="L23" s="50">
        <f t="shared" si="4"/>
        <v>-295</v>
      </c>
      <c r="M23" s="138">
        <f t="shared" si="5"/>
        <v>-9.4309462915601028</v>
      </c>
      <c r="N23" s="7">
        <v>2921</v>
      </c>
      <c r="O23" s="50">
        <f t="shared" si="6"/>
        <v>88</v>
      </c>
      <c r="P23" s="138">
        <f t="shared" si="7"/>
        <v>3.1062477938581008</v>
      </c>
    </row>
    <row r="24" spans="2:16" ht="15" thickBot="1">
      <c r="B24" s="47" t="s">
        <v>48</v>
      </c>
      <c r="C24" s="55" t="s">
        <v>81</v>
      </c>
      <c r="D24" s="54">
        <v>-3428</v>
      </c>
      <c r="E24" s="54">
        <v>-2969</v>
      </c>
      <c r="F24" s="52">
        <f t="shared" si="0"/>
        <v>459</v>
      </c>
      <c r="G24" s="138">
        <f t="shared" si="1"/>
        <v>13.38973162193699</v>
      </c>
      <c r="H24" s="54">
        <v>-4028</v>
      </c>
      <c r="I24" s="52">
        <f t="shared" si="2"/>
        <v>-1059</v>
      </c>
      <c r="J24" s="138">
        <f t="shared" si="3"/>
        <v>-35.668575277871341</v>
      </c>
      <c r="K24" s="54">
        <v>-3308</v>
      </c>
      <c r="L24" s="52">
        <f t="shared" si="4"/>
        <v>720</v>
      </c>
      <c r="M24" s="138">
        <f t="shared" si="5"/>
        <v>17.874875868917577</v>
      </c>
      <c r="N24" s="54">
        <v>-3814</v>
      </c>
      <c r="O24" s="52">
        <f t="shared" si="6"/>
        <v>-506</v>
      </c>
      <c r="P24" s="138">
        <f t="shared" si="7"/>
        <v>-15.296251511487306</v>
      </c>
    </row>
    <row r="25" spans="2:16" ht="15" thickBot="1">
      <c r="B25" s="47" t="s">
        <v>86</v>
      </c>
      <c r="C25" s="56" t="s">
        <v>87</v>
      </c>
      <c r="D25" s="51">
        <v>26706.395000000004</v>
      </c>
      <c r="E25" s="54">
        <v>24700.505000000005</v>
      </c>
      <c r="F25" s="52">
        <f t="shared" si="0"/>
        <v>-2005.8899999999994</v>
      </c>
      <c r="G25" s="138">
        <f t="shared" si="1"/>
        <v>-7.5108976707638719</v>
      </c>
      <c r="H25" s="51">
        <v>20331.857000000004</v>
      </c>
      <c r="I25" s="52">
        <f t="shared" si="2"/>
        <v>-4368.648000000001</v>
      </c>
      <c r="J25" s="138">
        <f t="shared" si="3"/>
        <v>-17.686472402082469</v>
      </c>
      <c r="K25" s="54">
        <v>27043.835999999996</v>
      </c>
      <c r="L25" s="52">
        <f>K25-H25</f>
        <v>6711.9789999999921</v>
      </c>
      <c r="M25" s="138">
        <f t="shared" si="5"/>
        <v>33.012129683973242</v>
      </c>
      <c r="N25" s="51">
        <v>19483.725000000006</v>
      </c>
      <c r="O25" s="52">
        <f t="shared" si="6"/>
        <v>-7560.1109999999899</v>
      </c>
      <c r="P25" s="138">
        <f t="shared" si="7"/>
        <v>-27.955024575655578</v>
      </c>
    </row>
    <row r="26" spans="2:16" ht="15" thickBot="1">
      <c r="B26" s="57" t="s">
        <v>48</v>
      </c>
      <c r="C26" s="55" t="s">
        <v>94</v>
      </c>
      <c r="D26" s="54">
        <v>0</v>
      </c>
      <c r="E26" s="54">
        <v>0</v>
      </c>
      <c r="F26" s="50">
        <f t="shared" si="0"/>
        <v>0</v>
      </c>
      <c r="G26" s="138" t="s">
        <v>227</v>
      </c>
      <c r="H26" s="54">
        <v>0</v>
      </c>
      <c r="I26" s="50">
        <f t="shared" si="2"/>
        <v>0</v>
      </c>
      <c r="J26" s="138" t="s">
        <v>227</v>
      </c>
      <c r="K26" s="54">
        <v>0</v>
      </c>
      <c r="L26" s="50">
        <f t="shared" si="4"/>
        <v>0</v>
      </c>
      <c r="M26" s="138" t="s">
        <v>227</v>
      </c>
      <c r="N26" s="54">
        <v>0</v>
      </c>
      <c r="O26" s="50">
        <f t="shared" si="6"/>
        <v>0</v>
      </c>
      <c r="P26" s="138" t="s">
        <v>227</v>
      </c>
    </row>
    <row r="27" spans="2:16" ht="15" thickBot="1">
      <c r="B27" s="57" t="s">
        <v>97</v>
      </c>
      <c r="C27" s="56" t="s">
        <v>98</v>
      </c>
      <c r="D27" s="51">
        <v>26706.395000000004</v>
      </c>
      <c r="E27" s="51">
        <v>24700.505000000005</v>
      </c>
      <c r="F27" s="52">
        <f t="shared" si="0"/>
        <v>-2005.8899999999994</v>
      </c>
      <c r="G27" s="138">
        <f t="shared" si="1"/>
        <v>-7.5108976707638719</v>
      </c>
      <c r="H27" s="51">
        <v>20331.857000000004</v>
      </c>
      <c r="I27" s="52">
        <f t="shared" si="2"/>
        <v>-4368.648000000001</v>
      </c>
      <c r="J27" s="138">
        <f t="shared" si="3"/>
        <v>-17.686472402082469</v>
      </c>
      <c r="K27" s="51">
        <v>27043.835999999996</v>
      </c>
      <c r="L27" s="52">
        <f t="shared" si="4"/>
        <v>6711.9789999999921</v>
      </c>
      <c r="M27" s="138">
        <f>(K27-H27)/ABS(H27)*100</f>
        <v>33.012129683973242</v>
      </c>
      <c r="N27" s="51">
        <v>19483.725000000006</v>
      </c>
      <c r="O27" s="52">
        <f t="shared" si="6"/>
        <v>-7560.1109999999899</v>
      </c>
      <c r="P27" s="138" t="s">
        <v>226</v>
      </c>
    </row>
    <row r="28" spans="2:16" ht="15" thickBot="1">
      <c r="B28" s="58" t="s">
        <v>99</v>
      </c>
      <c r="C28" s="59" t="s">
        <v>100</v>
      </c>
      <c r="D28" s="70">
        <v>37434.395000000004</v>
      </c>
      <c r="E28" s="70">
        <v>33314.505000000005</v>
      </c>
      <c r="F28" s="71">
        <f t="shared" si="0"/>
        <v>-4119.8899999999994</v>
      </c>
      <c r="G28" s="140">
        <f t="shared" si="1"/>
        <v>-11.005627311460486</v>
      </c>
      <c r="H28" s="70">
        <v>25677.857000000004</v>
      </c>
      <c r="I28" s="71">
        <f t="shared" si="2"/>
        <v>-7636.648000000001</v>
      </c>
      <c r="J28" s="140">
        <f t="shared" si="3"/>
        <v>-22.922891995543683</v>
      </c>
      <c r="K28" s="72">
        <v>35766.835999999996</v>
      </c>
      <c r="L28" s="71">
        <f t="shared" si="4"/>
        <v>10088.978999999992</v>
      </c>
      <c r="M28" s="140">
        <f t="shared" si="5"/>
        <v>39.290580206907414</v>
      </c>
      <c r="N28" s="70">
        <v>24739.725000000006</v>
      </c>
      <c r="O28" s="71">
        <f t="shared" si="6"/>
        <v>-11027.11099999999</v>
      </c>
      <c r="P28" s="140">
        <f t="shared" si="7"/>
        <v>-30.830546487254257</v>
      </c>
    </row>
    <row r="29" spans="2:16">
      <c r="B29" s="64"/>
      <c r="C29" s="65"/>
      <c r="D29" s="66"/>
      <c r="E29" s="67"/>
      <c r="F29" s="67"/>
      <c r="G29" s="68"/>
      <c r="H29" s="67"/>
      <c r="I29" s="67"/>
      <c r="J29" s="68"/>
      <c r="K29" s="69"/>
      <c r="L29" s="67"/>
      <c r="M29" s="68"/>
      <c r="N29" s="67"/>
      <c r="O29" s="67"/>
      <c r="P29" s="68"/>
    </row>
    <row r="30" spans="2:16" s="73" customFormat="1">
      <c r="C30" s="75" t="s">
        <v>237</v>
      </c>
      <c r="D30" s="76">
        <f>D5+D9+D15</f>
        <v>269922</v>
      </c>
      <c r="E30" s="76">
        <f>E5+E9+E15</f>
        <v>274133</v>
      </c>
      <c r="F30" s="77">
        <f>E30-D30</f>
        <v>4211</v>
      </c>
      <c r="G30" s="78">
        <f>(E30-D30)/ABS(D30)*100</f>
        <v>1.5600803194997075</v>
      </c>
      <c r="H30" s="76">
        <f>H5+H9+H15</f>
        <v>297297</v>
      </c>
      <c r="I30" s="77">
        <f>H30-E30</f>
        <v>23164</v>
      </c>
      <c r="J30" s="78">
        <f>(H30-E30)/ABS(E30)*100</f>
        <v>8.4499129984350656</v>
      </c>
      <c r="K30" s="76">
        <f>K5+K9+K15</f>
        <v>320415</v>
      </c>
      <c r="L30" s="77">
        <f>K30-H30</f>
        <v>23118</v>
      </c>
      <c r="M30" s="78">
        <f>(K30-H30)/ABS(H30)*100</f>
        <v>7.7760623215168678</v>
      </c>
      <c r="N30" s="76">
        <f>N5+N9+N15</f>
        <v>314586</v>
      </c>
      <c r="O30" s="77">
        <f t="shared" ref="O30" si="8">N30-K30</f>
        <v>-5829</v>
      </c>
      <c r="P30" s="78">
        <f>(N30-K30)/ABS(K30)*100</f>
        <v>-1.8192032208229951</v>
      </c>
    </row>
    <row r="31" spans="2:16" s="73" customFormat="1">
      <c r="E31" s="74"/>
      <c r="F31" s="74"/>
      <c r="G31" s="80">
        <f>G30/100</f>
        <v>1.5600803194997076E-2</v>
      </c>
      <c r="H31" s="74"/>
      <c r="I31" s="74"/>
      <c r="J31" s="80">
        <f>J30/100</f>
        <v>8.4499129984350663E-2</v>
      </c>
      <c r="M31" s="80">
        <f>M30/100</f>
        <v>7.7760623215168675E-2</v>
      </c>
      <c r="N31" s="74"/>
      <c r="O31" s="74"/>
      <c r="P31" s="80">
        <f>P30/100</f>
        <v>-1.8192032208229951E-2</v>
      </c>
    </row>
    <row r="32" spans="2:16" s="73" customFormat="1">
      <c r="C32" s="73" t="s">
        <v>244</v>
      </c>
      <c r="D32" s="74">
        <f>D14+D27</f>
        <v>36702.395000000004</v>
      </c>
      <c r="E32" s="74">
        <f>E14+E27</f>
        <v>37045.505000000005</v>
      </c>
      <c r="F32" s="74"/>
      <c r="G32" s="80"/>
      <c r="H32" s="74">
        <f>H14+H27</f>
        <v>37352.857000000004</v>
      </c>
      <c r="I32" s="74"/>
      <c r="J32" s="80"/>
      <c r="K32" s="74">
        <f>K14+K27</f>
        <v>45188.835999999996</v>
      </c>
      <c r="M32" s="80"/>
      <c r="N32" s="74">
        <f>N14+N27</f>
        <v>36604.725000000006</v>
      </c>
      <c r="O32" s="74"/>
      <c r="P32" s="80"/>
    </row>
    <row r="34" spans="3:10">
      <c r="C34" s="16" t="s">
        <v>400</v>
      </c>
      <c r="J34" s="16" t="s">
        <v>401</v>
      </c>
    </row>
    <row r="67" spans="3:10">
      <c r="C67" s="16" t="s">
        <v>402</v>
      </c>
      <c r="J67" s="16" t="s">
        <v>403</v>
      </c>
    </row>
    <row r="101" spans="3:7">
      <c r="C101" s="81" t="s">
        <v>243</v>
      </c>
      <c r="D101" s="81" t="s">
        <v>239</v>
      </c>
      <c r="E101" s="81" t="s">
        <v>240</v>
      </c>
      <c r="F101" s="81" t="s">
        <v>241</v>
      </c>
      <c r="G101" s="81" t="s">
        <v>242</v>
      </c>
    </row>
  </sheetData>
  <mergeCells count="7">
    <mergeCell ref="O3:P3"/>
    <mergeCell ref="D3:D4"/>
    <mergeCell ref="E3:E4"/>
    <mergeCell ref="F3:G3"/>
    <mergeCell ref="H3:H4"/>
    <mergeCell ref="I3:J3"/>
    <mergeCell ref="L3:M3"/>
  </mergeCells>
  <pageMargins left="0.7" right="0.7" top="0.78740157499999996" bottom="0.78740157499999996" header="0.3" footer="0.3"/>
  <pageSetup paperSize="9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activeCell="I1" sqref="I1"/>
    </sheetView>
  </sheetViews>
  <sheetFormatPr baseColWidth="10" defaultColWidth="8.83203125" defaultRowHeight="14" x14ac:dyDescent="0"/>
  <cols>
    <col min="2" max="2" width="52" customWidth="1"/>
    <col min="10" max="10" width="50.33203125" customWidth="1"/>
    <col min="11" max="11" width="9.1640625" customWidth="1"/>
    <col min="12" max="12" width="6.1640625" customWidth="1"/>
    <col min="14" max="14" width="5.83203125" customWidth="1"/>
    <col min="16" max="16" width="5.6640625" customWidth="1"/>
    <col min="18" max="18" width="5.5" customWidth="1"/>
  </cols>
  <sheetData>
    <row r="1" spans="1:18">
      <c r="A1" s="16" t="s">
        <v>398</v>
      </c>
      <c r="I1" s="16" t="s">
        <v>399</v>
      </c>
    </row>
    <row r="2" spans="1:18" ht="15" thickBot="1"/>
    <row r="3" spans="1:18" ht="28.5" customHeight="1">
      <c r="A3" s="340"/>
      <c r="B3" s="346" t="s">
        <v>250</v>
      </c>
      <c r="C3" s="340">
        <v>2002</v>
      </c>
      <c r="D3" s="340">
        <v>2003</v>
      </c>
      <c r="E3" s="340">
        <v>2004</v>
      </c>
      <c r="F3" s="340">
        <v>2005</v>
      </c>
      <c r="G3" s="340">
        <v>2006</v>
      </c>
      <c r="I3" s="340" t="s">
        <v>0</v>
      </c>
      <c r="J3" s="344" t="s">
        <v>250</v>
      </c>
      <c r="K3" s="342" t="s">
        <v>279</v>
      </c>
      <c r="L3" s="343"/>
      <c r="M3" s="342" t="s">
        <v>280</v>
      </c>
      <c r="N3" s="343"/>
      <c r="O3" s="342" t="s">
        <v>281</v>
      </c>
      <c r="P3" s="343"/>
      <c r="Q3" s="342" t="s">
        <v>282</v>
      </c>
      <c r="R3" s="343"/>
    </row>
    <row r="4" spans="1:18" ht="15" thickBot="1">
      <c r="A4" s="341"/>
      <c r="B4" s="347"/>
      <c r="C4" s="341"/>
      <c r="D4" s="341"/>
      <c r="E4" s="341"/>
      <c r="F4" s="341"/>
      <c r="G4" s="341"/>
      <c r="I4" s="341"/>
      <c r="J4" s="345"/>
      <c r="K4" s="86" t="s">
        <v>221</v>
      </c>
      <c r="L4" s="87" t="s">
        <v>222</v>
      </c>
      <c r="M4" s="86" t="s">
        <v>221</v>
      </c>
      <c r="N4" s="87" t="s">
        <v>222</v>
      </c>
      <c r="O4" s="86" t="s">
        <v>221</v>
      </c>
      <c r="P4" s="87" t="s">
        <v>222</v>
      </c>
      <c r="Q4" s="86" t="s">
        <v>221</v>
      </c>
      <c r="R4" s="87" t="s">
        <v>222</v>
      </c>
    </row>
    <row r="5" spans="1:18" ht="15" thickBot="1">
      <c r="A5" s="47" t="s">
        <v>1</v>
      </c>
      <c r="B5" s="48" t="s">
        <v>2</v>
      </c>
      <c r="C5" s="157">
        <v>43321</v>
      </c>
      <c r="D5" s="157">
        <v>37245</v>
      </c>
      <c r="E5" s="157">
        <v>42932</v>
      </c>
      <c r="F5" s="157">
        <v>41156</v>
      </c>
      <c r="G5" s="157">
        <v>44963</v>
      </c>
      <c r="I5" s="47" t="s">
        <v>1</v>
      </c>
      <c r="J5" s="82" t="s">
        <v>2</v>
      </c>
      <c r="K5" s="90">
        <v>-6076</v>
      </c>
      <c r="L5" s="88">
        <v>-14.025530343251541</v>
      </c>
      <c r="M5" s="90">
        <v>5687</v>
      </c>
      <c r="N5" s="88">
        <v>15.269163646126996</v>
      </c>
      <c r="O5" s="90">
        <v>-1776</v>
      </c>
      <c r="P5" s="88">
        <v>-4.1367744339886334</v>
      </c>
      <c r="Q5" s="90">
        <v>3807</v>
      </c>
      <c r="R5" s="88">
        <v>9.2501700845563217</v>
      </c>
    </row>
    <row r="6" spans="1:18" ht="15" thickBot="1">
      <c r="A6" s="47" t="s">
        <v>3</v>
      </c>
      <c r="B6" s="48" t="s">
        <v>4</v>
      </c>
      <c r="C6" s="157">
        <v>36025</v>
      </c>
      <c r="D6" s="157">
        <v>25163</v>
      </c>
      <c r="E6" s="157">
        <v>28142</v>
      </c>
      <c r="F6" s="157">
        <v>26458</v>
      </c>
      <c r="G6" s="157">
        <v>29933</v>
      </c>
      <c r="I6" s="47" t="s">
        <v>3</v>
      </c>
      <c r="J6" s="82" t="s">
        <v>4</v>
      </c>
      <c r="K6" s="90">
        <v>-10862</v>
      </c>
      <c r="L6" s="88">
        <v>-30.151283830673144</v>
      </c>
      <c r="M6" s="90">
        <v>2979</v>
      </c>
      <c r="N6" s="88">
        <v>11.838810952589117</v>
      </c>
      <c r="O6" s="90">
        <v>-1684</v>
      </c>
      <c r="P6" s="88">
        <v>-5.9839385971146335</v>
      </c>
      <c r="Q6" s="90">
        <v>3475</v>
      </c>
      <c r="R6" s="88">
        <v>13.134023735732104</v>
      </c>
    </row>
    <row r="7" spans="1:18" ht="15" thickBot="1">
      <c r="A7" s="47" t="s">
        <v>5</v>
      </c>
      <c r="B7" s="48" t="s">
        <v>6</v>
      </c>
      <c r="C7" s="158">
        <v>7296</v>
      </c>
      <c r="D7" s="158">
        <v>12082</v>
      </c>
      <c r="E7" s="158">
        <v>14790</v>
      </c>
      <c r="F7" s="158">
        <v>14698</v>
      </c>
      <c r="G7" s="158">
        <v>15030</v>
      </c>
      <c r="I7" s="47" t="s">
        <v>5</v>
      </c>
      <c r="J7" s="82" t="s">
        <v>6</v>
      </c>
      <c r="K7" s="90">
        <v>4786</v>
      </c>
      <c r="L7" s="88">
        <v>65.597587719298247</v>
      </c>
      <c r="M7" s="90">
        <v>2708</v>
      </c>
      <c r="N7" s="88">
        <v>22.413507697401091</v>
      </c>
      <c r="O7" s="90">
        <v>-92</v>
      </c>
      <c r="P7" s="88">
        <v>-0.6220419202163624</v>
      </c>
      <c r="Q7" s="90">
        <v>332</v>
      </c>
      <c r="R7" s="88">
        <v>2.2588107225472851</v>
      </c>
    </row>
    <row r="8" spans="1:18" ht="15" thickBot="1">
      <c r="A8" s="47" t="s">
        <v>7</v>
      </c>
      <c r="B8" s="48" t="s">
        <v>8</v>
      </c>
      <c r="C8" s="158">
        <v>224907</v>
      </c>
      <c r="D8" s="158">
        <v>233843</v>
      </c>
      <c r="E8" s="158">
        <v>260125</v>
      </c>
      <c r="F8" s="158">
        <v>278525</v>
      </c>
      <c r="G8" s="158">
        <v>263231</v>
      </c>
      <c r="I8" s="47" t="s">
        <v>7</v>
      </c>
      <c r="J8" s="82" t="s">
        <v>8</v>
      </c>
      <c r="K8" s="90">
        <v>8936</v>
      </c>
      <c r="L8" s="88">
        <v>3.9731978106506243</v>
      </c>
      <c r="M8" s="90">
        <v>26282</v>
      </c>
      <c r="N8" s="88">
        <v>11.239164738734964</v>
      </c>
      <c r="O8" s="90">
        <v>18400</v>
      </c>
      <c r="P8" s="88">
        <v>7.0735223450264302</v>
      </c>
      <c r="Q8" s="90">
        <v>-15294</v>
      </c>
      <c r="R8" s="88">
        <v>-5.4910690243245668</v>
      </c>
    </row>
    <row r="9" spans="1:18" ht="15" thickBot="1">
      <c r="A9" s="47" t="s">
        <v>9</v>
      </c>
      <c r="B9" s="48" t="s">
        <v>10</v>
      </c>
      <c r="C9" s="157">
        <v>223842</v>
      </c>
      <c r="D9" s="157">
        <v>232625</v>
      </c>
      <c r="E9" s="157">
        <v>253348</v>
      </c>
      <c r="F9" s="157">
        <v>273245</v>
      </c>
      <c r="G9" s="157">
        <v>263895</v>
      </c>
      <c r="I9" s="47" t="s">
        <v>9</v>
      </c>
      <c r="J9" s="82" t="s">
        <v>10</v>
      </c>
      <c r="K9" s="90">
        <v>8783</v>
      </c>
      <c r="L9" s="88">
        <v>3.9237497877967495</v>
      </c>
      <c r="M9" s="90">
        <v>20723</v>
      </c>
      <c r="N9" s="88">
        <v>8.9083288554540569</v>
      </c>
      <c r="O9" s="90">
        <v>19897</v>
      </c>
      <c r="P9" s="88">
        <v>7.853624263858408</v>
      </c>
      <c r="Q9" s="90">
        <v>-9350</v>
      </c>
      <c r="R9" s="88">
        <v>-3.4218375450602938</v>
      </c>
    </row>
    <row r="10" spans="1:18" ht="15" thickBot="1">
      <c r="A10" s="47" t="s">
        <v>15</v>
      </c>
      <c r="B10" s="48" t="s">
        <v>16</v>
      </c>
      <c r="C10" s="158">
        <v>133900</v>
      </c>
      <c r="D10" s="158">
        <v>139788</v>
      </c>
      <c r="E10" s="158">
        <v>159790</v>
      </c>
      <c r="F10" s="158">
        <v>158259</v>
      </c>
      <c r="G10" s="158">
        <v>151370</v>
      </c>
      <c r="I10" s="47" t="s">
        <v>15</v>
      </c>
      <c r="J10" s="82" t="s">
        <v>16</v>
      </c>
      <c r="K10" s="90">
        <v>5888</v>
      </c>
      <c r="L10" s="88">
        <v>4.3973114264376401</v>
      </c>
      <c r="M10" s="90">
        <v>20002</v>
      </c>
      <c r="N10" s="88">
        <v>14.308810484447879</v>
      </c>
      <c r="O10" s="90">
        <v>-1531</v>
      </c>
      <c r="P10" s="88">
        <v>-0.9581325489705238</v>
      </c>
      <c r="Q10" s="90">
        <v>-6889</v>
      </c>
      <c r="R10" s="88">
        <v>-4.35299098313524</v>
      </c>
    </row>
    <row r="11" spans="1:18" ht="15" thickBot="1">
      <c r="A11" s="47" t="s">
        <v>5</v>
      </c>
      <c r="B11" s="48" t="s">
        <v>19</v>
      </c>
      <c r="C11" s="51">
        <v>98303</v>
      </c>
      <c r="D11" s="51">
        <v>106137</v>
      </c>
      <c r="E11" s="51">
        <v>115125</v>
      </c>
      <c r="F11" s="51">
        <v>134964</v>
      </c>
      <c r="G11" s="51">
        <v>126891</v>
      </c>
      <c r="I11" s="47" t="s">
        <v>5</v>
      </c>
      <c r="J11" s="82" t="s">
        <v>19</v>
      </c>
      <c r="K11" s="90">
        <v>7834</v>
      </c>
      <c r="L11" s="88">
        <v>7.9692379683224317</v>
      </c>
      <c r="M11" s="90">
        <v>8988</v>
      </c>
      <c r="N11" s="88">
        <v>8.4683004041945793</v>
      </c>
      <c r="O11" s="90">
        <v>19839</v>
      </c>
      <c r="P11" s="88">
        <v>17.23257328990228</v>
      </c>
      <c r="Q11" s="90">
        <v>-8073</v>
      </c>
      <c r="R11" s="88">
        <v>-5.9815950920245404</v>
      </c>
    </row>
    <row r="12" spans="1:18" ht="15" thickBot="1">
      <c r="A12" s="47" t="s">
        <v>20</v>
      </c>
      <c r="B12" s="48" t="s">
        <v>21</v>
      </c>
      <c r="C12" s="51">
        <v>53818.604999999996</v>
      </c>
      <c r="D12" s="51">
        <v>60111.495000000003</v>
      </c>
      <c r="E12" s="51">
        <v>68458.142999999996</v>
      </c>
      <c r="F12" s="51">
        <v>78262.164000000004</v>
      </c>
      <c r="G12" s="51">
        <v>83665.274999999994</v>
      </c>
      <c r="I12" s="47" t="s">
        <v>20</v>
      </c>
      <c r="J12" s="82" t="s">
        <v>21</v>
      </c>
      <c r="K12" s="90">
        <v>6292.8900000000067</v>
      </c>
      <c r="L12" s="88">
        <v>11.692777990064974</v>
      </c>
      <c r="M12" s="90">
        <v>8346.6479999999938</v>
      </c>
      <c r="N12" s="88">
        <v>13.885277682746025</v>
      </c>
      <c r="O12" s="90">
        <v>9804.0210000000079</v>
      </c>
      <c r="P12" s="88">
        <v>14.321190395129484</v>
      </c>
      <c r="Q12" s="90">
        <v>5403.1109999999899</v>
      </c>
      <c r="R12" s="88">
        <v>6.9038609768060963</v>
      </c>
    </row>
    <row r="13" spans="1:18" ht="15" thickBot="1">
      <c r="A13" s="47" t="s">
        <v>27</v>
      </c>
      <c r="B13" s="48" t="s">
        <v>28</v>
      </c>
      <c r="C13" s="49">
        <v>148</v>
      </c>
      <c r="D13" s="49">
        <v>195</v>
      </c>
      <c r="E13" s="49">
        <v>238</v>
      </c>
      <c r="F13" s="49">
        <v>242</v>
      </c>
      <c r="G13" s="49">
        <v>328</v>
      </c>
      <c r="I13" s="47" t="s">
        <v>27</v>
      </c>
      <c r="J13" s="82" t="s">
        <v>28</v>
      </c>
      <c r="K13" s="90">
        <v>47</v>
      </c>
      <c r="L13" s="88">
        <v>31.756756756756754</v>
      </c>
      <c r="M13" s="90">
        <v>43</v>
      </c>
      <c r="N13" s="88">
        <v>22.051282051282051</v>
      </c>
      <c r="O13" s="90">
        <v>4</v>
      </c>
      <c r="P13" s="88">
        <v>1.680672268907563</v>
      </c>
      <c r="Q13" s="90">
        <v>86</v>
      </c>
      <c r="R13" s="88">
        <v>35.537190082644628</v>
      </c>
    </row>
    <row r="14" spans="1:18" ht="15" thickBot="1">
      <c r="A14" s="47" t="s">
        <v>29</v>
      </c>
      <c r="B14" s="48" t="s">
        <v>30</v>
      </c>
      <c r="C14" s="49">
        <v>9996</v>
      </c>
      <c r="D14" s="49">
        <v>12345</v>
      </c>
      <c r="E14" s="49">
        <v>17021</v>
      </c>
      <c r="F14" s="49">
        <v>18145</v>
      </c>
      <c r="G14" s="49">
        <v>17121</v>
      </c>
      <c r="I14" s="47" t="s">
        <v>29</v>
      </c>
      <c r="J14" s="82" t="s">
        <v>30</v>
      </c>
      <c r="K14" s="90">
        <v>2349</v>
      </c>
      <c r="L14" s="88">
        <v>23.499399759903959</v>
      </c>
      <c r="M14" s="90">
        <v>4676</v>
      </c>
      <c r="N14" s="88">
        <v>37.877683272579993</v>
      </c>
      <c r="O14" s="90">
        <v>1124</v>
      </c>
      <c r="P14" s="88">
        <v>6.6036073086187654</v>
      </c>
      <c r="Q14" s="90">
        <v>-1024</v>
      </c>
      <c r="R14" s="88">
        <v>-5.6434279415817032</v>
      </c>
    </row>
    <row r="15" spans="1:18" ht="15" thickBot="1">
      <c r="A15" s="47" t="s">
        <v>31</v>
      </c>
      <c r="B15" s="48" t="s">
        <v>32</v>
      </c>
      <c r="C15" s="158">
        <v>2759</v>
      </c>
      <c r="D15" s="158">
        <v>4263</v>
      </c>
      <c r="E15" s="158">
        <v>1017</v>
      </c>
      <c r="F15" s="158">
        <v>6014</v>
      </c>
      <c r="G15" s="158">
        <v>5728</v>
      </c>
      <c r="I15" s="47" t="s">
        <v>31</v>
      </c>
      <c r="J15" s="82" t="s">
        <v>32</v>
      </c>
      <c r="K15" s="90">
        <v>1504</v>
      </c>
      <c r="L15" s="88">
        <v>54.512504530627041</v>
      </c>
      <c r="M15" s="90">
        <v>-3246</v>
      </c>
      <c r="N15" s="88">
        <v>-76.143560872624917</v>
      </c>
      <c r="O15" s="90">
        <v>4997</v>
      </c>
      <c r="P15" s="88">
        <v>491.34709931170113</v>
      </c>
      <c r="Q15" s="90">
        <v>-286</v>
      </c>
      <c r="R15" s="88">
        <v>-4.7555703358829398</v>
      </c>
    </row>
    <row r="16" spans="1:18" ht="15" thickBot="1">
      <c r="A16" s="47" t="s">
        <v>35</v>
      </c>
      <c r="B16" s="48" t="s">
        <v>36</v>
      </c>
      <c r="C16" s="51">
        <v>1712</v>
      </c>
      <c r="D16" s="51">
        <v>2758</v>
      </c>
      <c r="E16" s="51">
        <v>561</v>
      </c>
      <c r="F16" s="51">
        <v>5358</v>
      </c>
      <c r="G16" s="51">
        <v>3622</v>
      </c>
      <c r="I16" s="47" t="s">
        <v>35</v>
      </c>
      <c r="J16" s="82" t="s">
        <v>36</v>
      </c>
      <c r="K16" s="90">
        <v>1046</v>
      </c>
      <c r="L16" s="88">
        <v>61.098130841121502</v>
      </c>
      <c r="M16" s="90">
        <v>-2197</v>
      </c>
      <c r="N16" s="88">
        <v>-79.659173313995652</v>
      </c>
      <c r="O16" s="90">
        <v>4797</v>
      </c>
      <c r="P16" s="88">
        <v>855.08021390374336</v>
      </c>
      <c r="Q16" s="90">
        <v>-1736</v>
      </c>
      <c r="R16" s="88">
        <v>-32.400149309443819</v>
      </c>
    </row>
    <row r="17" spans="1:18" ht="15" thickBot="1">
      <c r="A17" s="47" t="s">
        <v>41</v>
      </c>
      <c r="B17" s="48" t="s">
        <v>42</v>
      </c>
      <c r="C17" s="157">
        <v>19625</v>
      </c>
      <c r="D17" s="157">
        <v>30942</v>
      </c>
      <c r="E17" s="157">
        <v>8263</v>
      </c>
      <c r="F17" s="157">
        <v>4155</v>
      </c>
      <c r="G17" s="157">
        <v>1563</v>
      </c>
      <c r="I17" s="47" t="s">
        <v>41</v>
      </c>
      <c r="J17" s="82" t="s">
        <v>42</v>
      </c>
      <c r="K17" s="90">
        <v>11317</v>
      </c>
      <c r="L17" s="88">
        <v>57.666242038216566</v>
      </c>
      <c r="M17" s="90">
        <v>-22679</v>
      </c>
      <c r="N17" s="88">
        <v>-73.295197466227137</v>
      </c>
      <c r="O17" s="90">
        <v>-4108</v>
      </c>
      <c r="P17" s="88">
        <v>-49.715599661140018</v>
      </c>
      <c r="Q17" s="90">
        <v>-2592</v>
      </c>
      <c r="R17" s="88">
        <v>-62.382671480144403</v>
      </c>
    </row>
    <row r="18" spans="1:18" ht="15" thickBot="1">
      <c r="A18" s="47" t="s">
        <v>43</v>
      </c>
      <c r="B18" s="48" t="s">
        <v>44</v>
      </c>
      <c r="C18" s="157">
        <v>17845</v>
      </c>
      <c r="D18" s="157">
        <v>30942</v>
      </c>
      <c r="E18" s="157">
        <v>8963</v>
      </c>
      <c r="F18" s="157">
        <v>3325</v>
      </c>
      <c r="G18" s="157">
        <v>985</v>
      </c>
      <c r="I18" s="47" t="s">
        <v>43</v>
      </c>
      <c r="J18" s="82" t="s">
        <v>44</v>
      </c>
      <c r="K18" s="90">
        <v>13097</v>
      </c>
      <c r="L18" s="88">
        <v>73.393107312972816</v>
      </c>
      <c r="M18" s="90">
        <v>-21979</v>
      </c>
      <c r="N18" s="88">
        <v>-71.032900265011961</v>
      </c>
      <c r="O18" s="90">
        <v>-5638</v>
      </c>
      <c r="P18" s="88">
        <v>-62.903045855182413</v>
      </c>
      <c r="Q18" s="90">
        <v>-2340</v>
      </c>
      <c r="R18" s="88">
        <v>-70.375939849624061</v>
      </c>
    </row>
    <row r="19" spans="1:18" ht="15" thickBot="1">
      <c r="A19" s="47" t="s">
        <v>48</v>
      </c>
      <c r="B19" s="55" t="s">
        <v>49</v>
      </c>
      <c r="C19" s="51">
        <v>40862.395000000004</v>
      </c>
      <c r="D19" s="51">
        <v>36283.505000000005</v>
      </c>
      <c r="E19" s="51">
        <v>29705.857000000004</v>
      </c>
      <c r="F19" s="51">
        <v>39074.835999999996</v>
      </c>
      <c r="G19" s="51">
        <v>28553.725000000006</v>
      </c>
      <c r="I19" s="47" t="s">
        <v>48</v>
      </c>
      <c r="J19" s="83" t="s">
        <v>49</v>
      </c>
      <c r="K19" s="90">
        <v>-4578.8899999999994</v>
      </c>
      <c r="L19" s="88">
        <v>-11.205632954211321</v>
      </c>
      <c r="M19" s="90">
        <v>-6577.648000000001</v>
      </c>
      <c r="N19" s="88">
        <v>-18.128480145454525</v>
      </c>
      <c r="O19" s="90">
        <v>9368.9789999999921</v>
      </c>
      <c r="P19" s="88">
        <v>31.539164145306398</v>
      </c>
      <c r="Q19" s="90">
        <v>-10521.11099999999</v>
      </c>
      <c r="R19" s="88">
        <v>-26.925541031061499</v>
      </c>
    </row>
    <row r="20" spans="1:18" ht="15" thickBot="1">
      <c r="A20" s="47" t="s">
        <v>69</v>
      </c>
      <c r="B20" s="48" t="s">
        <v>70</v>
      </c>
      <c r="C20" s="49">
        <v>45</v>
      </c>
      <c r="D20" s="49">
        <v>33</v>
      </c>
      <c r="E20" s="49">
        <v>22</v>
      </c>
      <c r="F20" s="49">
        <v>18</v>
      </c>
      <c r="G20" s="49">
        <v>8</v>
      </c>
      <c r="I20" s="47" t="s">
        <v>69</v>
      </c>
      <c r="J20" s="82" t="s">
        <v>70</v>
      </c>
      <c r="K20" s="90">
        <v>-12</v>
      </c>
      <c r="L20" s="88">
        <v>-26.666666666666668</v>
      </c>
      <c r="M20" s="90">
        <v>-11</v>
      </c>
      <c r="N20" s="88">
        <v>-33.333333333333329</v>
      </c>
      <c r="O20" s="90">
        <v>-4</v>
      </c>
      <c r="P20" s="88">
        <v>-18.181818181818183</v>
      </c>
      <c r="Q20" s="90">
        <v>-10</v>
      </c>
      <c r="R20" s="88">
        <v>-55.555555555555557</v>
      </c>
    </row>
    <row r="21" spans="1:18" ht="15" thickBot="1">
      <c r="A21" s="47" t="s">
        <v>71</v>
      </c>
      <c r="B21" s="48" t="s">
        <v>72</v>
      </c>
      <c r="C21" s="49">
        <v>1933</v>
      </c>
      <c r="D21" s="49">
        <v>1302</v>
      </c>
      <c r="E21" s="49">
        <v>1495</v>
      </c>
      <c r="F21" s="49">
        <v>1021</v>
      </c>
      <c r="G21" s="49">
        <v>1222</v>
      </c>
      <c r="I21" s="47" t="s">
        <v>71</v>
      </c>
      <c r="J21" s="82" t="s">
        <v>72</v>
      </c>
      <c r="K21" s="90">
        <v>-631</v>
      </c>
      <c r="L21" s="88">
        <v>-32.643559234350747</v>
      </c>
      <c r="M21" s="90">
        <v>193</v>
      </c>
      <c r="N21" s="88">
        <v>14.823348694316435</v>
      </c>
      <c r="O21" s="90">
        <v>-474</v>
      </c>
      <c r="P21" s="88">
        <v>-31.705685618729095</v>
      </c>
      <c r="Q21" s="90">
        <v>201</v>
      </c>
      <c r="R21" s="88">
        <v>19.686581782566112</v>
      </c>
    </row>
    <row r="22" spans="1:18" ht="15" thickBot="1">
      <c r="A22" s="47" t="s">
        <v>73</v>
      </c>
      <c r="B22" s="48" t="s">
        <v>74</v>
      </c>
      <c r="C22" s="49">
        <v>593</v>
      </c>
      <c r="D22" s="49">
        <v>426</v>
      </c>
      <c r="E22" s="49">
        <v>573</v>
      </c>
      <c r="F22" s="49">
        <v>528</v>
      </c>
      <c r="G22" s="49">
        <v>321</v>
      </c>
      <c r="I22" s="47" t="s">
        <v>73</v>
      </c>
      <c r="J22" s="82" t="s">
        <v>74</v>
      </c>
      <c r="K22" s="90">
        <v>-167</v>
      </c>
      <c r="L22" s="88">
        <v>-28.161888701517707</v>
      </c>
      <c r="M22" s="90">
        <v>147</v>
      </c>
      <c r="N22" s="88">
        <v>34.507042253521128</v>
      </c>
      <c r="O22" s="90">
        <v>-45</v>
      </c>
      <c r="P22" s="88">
        <v>-7.8534031413612562</v>
      </c>
      <c r="Q22" s="90">
        <v>-207</v>
      </c>
      <c r="R22" s="88">
        <v>-39.204545454545453</v>
      </c>
    </row>
    <row r="23" spans="1:18" ht="15" thickBot="1">
      <c r="A23" s="47" t="s">
        <v>75</v>
      </c>
      <c r="B23" s="48" t="s">
        <v>76</v>
      </c>
      <c r="C23" s="49">
        <v>2133</v>
      </c>
      <c r="D23" s="49">
        <v>2126</v>
      </c>
      <c r="E23" s="49">
        <v>3128</v>
      </c>
      <c r="F23" s="49">
        <v>2833</v>
      </c>
      <c r="G23" s="49">
        <v>2921</v>
      </c>
      <c r="I23" s="47" t="s">
        <v>75</v>
      </c>
      <c r="J23" s="82" t="s">
        <v>76</v>
      </c>
      <c r="K23" s="90">
        <v>-7</v>
      </c>
      <c r="L23" s="88">
        <v>-0.32817627754336615</v>
      </c>
      <c r="M23" s="90">
        <v>1002</v>
      </c>
      <c r="N23" s="88">
        <v>47.130761994355595</v>
      </c>
      <c r="O23" s="90">
        <v>-295</v>
      </c>
      <c r="P23" s="88">
        <v>-9.4309462915601028</v>
      </c>
      <c r="Q23" s="90">
        <v>88</v>
      </c>
      <c r="R23" s="88">
        <v>3.1062477938581008</v>
      </c>
    </row>
    <row r="24" spans="1:18" ht="15" thickBot="1">
      <c r="A24" s="47" t="s">
        <v>48</v>
      </c>
      <c r="B24" s="55" t="s">
        <v>81</v>
      </c>
      <c r="C24" s="51">
        <v>-3428</v>
      </c>
      <c r="D24" s="51">
        <v>-2969</v>
      </c>
      <c r="E24" s="51">
        <v>-4028</v>
      </c>
      <c r="F24" s="51">
        <v>-3308</v>
      </c>
      <c r="G24" s="51">
        <v>-3814</v>
      </c>
      <c r="I24" s="47" t="s">
        <v>48</v>
      </c>
      <c r="J24" s="83" t="s">
        <v>81</v>
      </c>
      <c r="K24" s="90">
        <v>459</v>
      </c>
      <c r="L24" s="88">
        <v>13.38973162193699</v>
      </c>
      <c r="M24" s="90">
        <v>-1059</v>
      </c>
      <c r="N24" s="88">
        <v>-35.668575277871341</v>
      </c>
      <c r="O24" s="90">
        <v>720</v>
      </c>
      <c r="P24" s="88">
        <v>17.874875868917577</v>
      </c>
      <c r="Q24" s="90">
        <v>-506</v>
      </c>
      <c r="R24" s="88">
        <v>-15.296251511487306</v>
      </c>
    </row>
    <row r="25" spans="1:18" ht="15" thickBot="1">
      <c r="A25" s="47" t="s">
        <v>86</v>
      </c>
      <c r="B25" s="56" t="s">
        <v>87</v>
      </c>
      <c r="C25" s="51">
        <v>26706.395000000004</v>
      </c>
      <c r="D25" s="51">
        <v>24700.505000000005</v>
      </c>
      <c r="E25" s="51">
        <v>20331.857000000004</v>
      </c>
      <c r="F25" s="51">
        <v>27043.835999999996</v>
      </c>
      <c r="G25" s="51">
        <v>19483.725000000006</v>
      </c>
      <c r="I25" s="47" t="s">
        <v>86</v>
      </c>
      <c r="J25" s="84" t="s">
        <v>87</v>
      </c>
      <c r="K25" s="90">
        <v>-2005.8899999999994</v>
      </c>
      <c r="L25" s="88">
        <v>-7.5108976707638719</v>
      </c>
      <c r="M25" s="90">
        <v>-4368.648000000001</v>
      </c>
      <c r="N25" s="88">
        <v>-17.686472402082469</v>
      </c>
      <c r="O25" s="90">
        <v>6711.9789999999921</v>
      </c>
      <c r="P25" s="88">
        <v>33.012129683973242</v>
      </c>
      <c r="Q25" s="90">
        <v>-7560.1109999999899</v>
      </c>
      <c r="R25" s="88">
        <v>-27.955024575655578</v>
      </c>
    </row>
    <row r="26" spans="1:18" ht="15" thickBot="1">
      <c r="A26" s="57" t="s">
        <v>48</v>
      </c>
      <c r="B26" s="55" t="s">
        <v>94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I26" s="57" t="s">
        <v>48</v>
      </c>
      <c r="J26" s="83" t="s">
        <v>94</v>
      </c>
      <c r="K26" s="90">
        <v>0</v>
      </c>
      <c r="L26" s="88" t="s">
        <v>227</v>
      </c>
      <c r="M26" s="90">
        <v>0</v>
      </c>
      <c r="N26" s="88" t="s">
        <v>227</v>
      </c>
      <c r="O26" s="90">
        <v>0</v>
      </c>
      <c r="P26" s="88" t="s">
        <v>227</v>
      </c>
      <c r="Q26" s="90">
        <v>0</v>
      </c>
      <c r="R26" s="88" t="s">
        <v>227</v>
      </c>
    </row>
    <row r="27" spans="1:18" ht="15" thickBot="1">
      <c r="A27" s="57" t="s">
        <v>97</v>
      </c>
      <c r="B27" s="56" t="s">
        <v>98</v>
      </c>
      <c r="C27" s="51">
        <v>26706.395000000004</v>
      </c>
      <c r="D27" s="51">
        <v>24700.505000000005</v>
      </c>
      <c r="E27" s="51">
        <v>20331.857000000004</v>
      </c>
      <c r="F27" s="51">
        <v>27043.835999999996</v>
      </c>
      <c r="G27" s="51">
        <v>19483.725000000006</v>
      </c>
      <c r="I27" s="57" t="s">
        <v>97</v>
      </c>
      <c r="J27" s="84" t="s">
        <v>98</v>
      </c>
      <c r="K27" s="90">
        <v>-2005.8899999999994</v>
      </c>
      <c r="L27" s="88">
        <v>-7.5108976707638719</v>
      </c>
      <c r="M27" s="90">
        <v>-4368.648000000001</v>
      </c>
      <c r="N27" s="88">
        <v>-17.686472402082469</v>
      </c>
      <c r="O27" s="90">
        <v>6711.9789999999921</v>
      </c>
      <c r="P27" s="88">
        <v>33.012129683973242</v>
      </c>
      <c r="Q27" s="90">
        <v>-7560.1109999999899</v>
      </c>
      <c r="R27" s="88" t="s">
        <v>226</v>
      </c>
    </row>
    <row r="28" spans="1:18" ht="15" thickBot="1">
      <c r="A28" s="58" t="s">
        <v>99</v>
      </c>
      <c r="B28" s="59" t="s">
        <v>100</v>
      </c>
      <c r="C28" s="70">
        <v>37434.395000000004</v>
      </c>
      <c r="D28" s="70">
        <v>33314.505000000005</v>
      </c>
      <c r="E28" s="70">
        <v>25677.857000000004</v>
      </c>
      <c r="F28" s="70">
        <v>35766.835999999996</v>
      </c>
      <c r="G28" s="70">
        <v>24739.725000000006</v>
      </c>
      <c r="I28" s="58" t="s">
        <v>99</v>
      </c>
      <c r="J28" s="85" t="s">
        <v>100</v>
      </c>
      <c r="K28" s="91">
        <v>-4119.8899999999994</v>
      </c>
      <c r="L28" s="89">
        <v>-11.005627311460486</v>
      </c>
      <c r="M28" s="91">
        <v>-7636.648000000001</v>
      </c>
      <c r="N28" s="89">
        <v>-22.922891995543683</v>
      </c>
      <c r="O28" s="91">
        <v>10088.978999999992</v>
      </c>
      <c r="P28" s="89">
        <v>39.290580206907414</v>
      </c>
      <c r="Q28" s="91">
        <v>-11027.11099999999</v>
      </c>
      <c r="R28" s="89">
        <v>-30.830546487254257</v>
      </c>
    </row>
    <row r="29" spans="1:18">
      <c r="R29" s="73"/>
    </row>
  </sheetData>
  <mergeCells count="13">
    <mergeCell ref="Q3:R3"/>
    <mergeCell ref="A3:A4"/>
    <mergeCell ref="I3:I4"/>
    <mergeCell ref="J3:J4"/>
    <mergeCell ref="K3:L3"/>
    <mergeCell ref="M3:N3"/>
    <mergeCell ref="O3:P3"/>
    <mergeCell ref="C3:C4"/>
    <mergeCell ref="D3:D4"/>
    <mergeCell ref="E3:E4"/>
    <mergeCell ref="F3:F4"/>
    <mergeCell ref="G3:G4"/>
    <mergeCell ref="B3:B4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8"/>
  <sheetViews>
    <sheetView topLeftCell="D1" workbookViewId="0">
      <selection activeCell="P125" sqref="P125"/>
    </sheetView>
  </sheetViews>
  <sheetFormatPr baseColWidth="10" defaultColWidth="8.83203125" defaultRowHeight="14" x14ac:dyDescent="0"/>
  <cols>
    <col min="3" max="3" width="60.33203125" bestFit="1" customWidth="1"/>
    <col min="7" max="7" width="16.33203125" bestFit="1" customWidth="1"/>
    <col min="10" max="10" width="16.33203125" bestFit="1" customWidth="1"/>
    <col min="13" max="13" width="16.33203125" bestFit="1" customWidth="1"/>
    <col min="16" max="16" width="16.33203125" bestFit="1" customWidth="1"/>
  </cols>
  <sheetData>
    <row r="1" spans="2:16">
      <c r="B1" s="16" t="s">
        <v>283</v>
      </c>
    </row>
    <row r="2" spans="2:16" ht="15" thickBot="1">
      <c r="B2" s="16"/>
    </row>
    <row r="3" spans="2:16" ht="15" thickBot="1">
      <c r="B3" s="324" t="s">
        <v>0</v>
      </c>
      <c r="C3" s="324" t="s">
        <v>101</v>
      </c>
      <c r="D3" s="324">
        <v>2002</v>
      </c>
      <c r="E3" s="328">
        <v>2003</v>
      </c>
      <c r="F3" s="326" t="s">
        <v>223</v>
      </c>
      <c r="G3" s="327"/>
      <c r="H3" s="324">
        <v>2004</v>
      </c>
      <c r="I3" s="326" t="s">
        <v>220</v>
      </c>
      <c r="J3" s="327"/>
      <c r="K3" s="324">
        <v>2005</v>
      </c>
      <c r="L3" s="326" t="s">
        <v>224</v>
      </c>
      <c r="M3" s="327"/>
      <c r="N3" s="324">
        <v>2006</v>
      </c>
      <c r="O3" s="326" t="s">
        <v>225</v>
      </c>
      <c r="P3" s="327"/>
    </row>
    <row r="4" spans="2:16" ht="15" thickBot="1">
      <c r="B4" s="325"/>
      <c r="C4" s="325"/>
      <c r="D4" s="325"/>
      <c r="E4" s="329"/>
      <c r="F4" s="26" t="s">
        <v>221</v>
      </c>
      <c r="G4" s="26" t="s">
        <v>222</v>
      </c>
      <c r="H4" s="325"/>
      <c r="I4" s="26" t="s">
        <v>221</v>
      </c>
      <c r="J4" s="26" t="s">
        <v>222</v>
      </c>
      <c r="K4" s="325"/>
      <c r="L4" s="26" t="s">
        <v>221</v>
      </c>
      <c r="M4" s="26" t="s">
        <v>222</v>
      </c>
      <c r="N4" s="325"/>
      <c r="O4" s="26" t="s">
        <v>221</v>
      </c>
      <c r="P4" s="26" t="s">
        <v>222</v>
      </c>
    </row>
    <row r="5" spans="2:16" ht="15" thickBot="1">
      <c r="B5" s="4"/>
      <c r="C5" s="21" t="s">
        <v>102</v>
      </c>
      <c r="D5" s="23">
        <f>D6+D7+D35+D67</f>
        <v>152051</v>
      </c>
      <c r="E5" s="23">
        <f t="shared" ref="E5" si="0">E6+E7+E35+E67</f>
        <v>193207</v>
      </c>
      <c r="F5" s="27">
        <f>E5-D5</f>
        <v>41156</v>
      </c>
      <c r="G5" s="28">
        <f>(E5-D5)/ABS(D5)*100</f>
        <v>27.067234020164289</v>
      </c>
      <c r="H5" s="23">
        <f t="shared" ref="H5" si="1">H6+H7+H35+H67</f>
        <v>211870</v>
      </c>
      <c r="I5" s="27">
        <f>H5-E5</f>
        <v>18663</v>
      </c>
      <c r="J5" s="28">
        <f>(H5-E5)/ABS(E5)*100</f>
        <v>9.659587903129804</v>
      </c>
      <c r="K5" s="23">
        <f t="shared" ref="K5" si="2">K6+K7+K35+K67</f>
        <v>220505</v>
      </c>
      <c r="L5" s="27">
        <f>K5-H5</f>
        <v>8635</v>
      </c>
      <c r="M5" s="28">
        <f>(K5-H5)/ABS(H5)*100</f>
        <v>4.0756124038325385</v>
      </c>
      <c r="N5" s="23">
        <f t="shared" ref="N5" si="3">N6+N7+N35+N67</f>
        <v>241980</v>
      </c>
      <c r="O5" s="27">
        <f>N5-K5</f>
        <v>21475</v>
      </c>
      <c r="P5" s="29">
        <f>(N5-K5)/ABS(K5)*100</f>
        <v>9.7390081857554254</v>
      </c>
    </row>
    <row r="6" spans="2:16" ht="15" thickBot="1">
      <c r="B6" s="172" t="s">
        <v>3</v>
      </c>
      <c r="C6" s="21" t="s">
        <v>103</v>
      </c>
      <c r="D6" s="20">
        <v>0</v>
      </c>
      <c r="E6" s="20">
        <v>0</v>
      </c>
      <c r="F6" s="27">
        <f>E6-D6</f>
        <v>0</v>
      </c>
      <c r="G6" s="28" t="s">
        <v>227</v>
      </c>
      <c r="H6" s="19">
        <v>0</v>
      </c>
      <c r="I6" s="27">
        <f>H6-E6</f>
        <v>0</v>
      </c>
      <c r="J6" s="28" t="s">
        <v>227</v>
      </c>
      <c r="K6" s="20">
        <v>0</v>
      </c>
      <c r="L6" s="27">
        <f>K6-H6</f>
        <v>0</v>
      </c>
      <c r="M6" s="28" t="s">
        <v>227</v>
      </c>
      <c r="N6" s="20">
        <v>0</v>
      </c>
      <c r="O6" s="27">
        <f>N6-K6</f>
        <v>0</v>
      </c>
      <c r="P6" s="28" t="s">
        <v>227</v>
      </c>
    </row>
    <row r="7" spans="2:16" ht="15" thickBot="1">
      <c r="B7" s="172" t="s">
        <v>15</v>
      </c>
      <c r="C7" s="21" t="s">
        <v>104</v>
      </c>
      <c r="D7" s="23">
        <f>D8+D17+D27</f>
        <v>77972</v>
      </c>
      <c r="E7" s="23">
        <f t="shared" ref="E7" si="4">E8+E17+E27</f>
        <v>110286</v>
      </c>
      <c r="F7" s="27">
        <f t="shared" ref="F7:F70" si="5">E7-D7</f>
        <v>32314</v>
      </c>
      <c r="G7" s="28">
        <f t="shared" ref="G7:G68" si="6">(E7-D7)/ABS(D7)*100</f>
        <v>41.443082132047401</v>
      </c>
      <c r="H7" s="23">
        <f t="shared" ref="H7" si="7">H8+H17+H27</f>
        <v>116276</v>
      </c>
      <c r="I7" s="27">
        <f t="shared" ref="I7:I70" si="8">H7-E7</f>
        <v>5990</v>
      </c>
      <c r="J7" s="28">
        <f t="shared" ref="J7:J68" si="9">(H7-E7)/ABS(E7)*100</f>
        <v>5.431333079447981</v>
      </c>
      <c r="K7" s="23">
        <f t="shared" ref="K7" si="10">K8+K17+K27</f>
        <v>111887</v>
      </c>
      <c r="L7" s="27">
        <f t="shared" ref="L7:L23" si="11">K7-H7</f>
        <v>-4389</v>
      </c>
      <c r="M7" s="28">
        <f t="shared" ref="M7:M68" si="12">(K7-H7)/ABS(H7)*100</f>
        <v>-3.7746396504867725</v>
      </c>
      <c r="N7" s="23">
        <f t="shared" ref="N7" si="13">N8+N17+N27</f>
        <v>122053</v>
      </c>
      <c r="O7" s="27">
        <f t="shared" ref="O7:O41" si="14">N7-K7</f>
        <v>10166</v>
      </c>
      <c r="P7" s="29">
        <f t="shared" ref="P7:P68" si="15">(N7-K7)/ABS(K7)*100</f>
        <v>9.0859527916558669</v>
      </c>
    </row>
    <row r="8" spans="2:16" ht="15" thickBot="1">
      <c r="B8" s="9" t="s">
        <v>1</v>
      </c>
      <c r="C8" s="24" t="s">
        <v>105</v>
      </c>
      <c r="D8" s="20">
        <f>SUM(D9:D16)</f>
        <v>2068</v>
      </c>
      <c r="E8" s="20">
        <f t="shared" ref="E8" si="16">SUM(E9:E16)</f>
        <v>2823</v>
      </c>
      <c r="F8" s="27">
        <f t="shared" si="5"/>
        <v>755</v>
      </c>
      <c r="G8" s="28">
        <f t="shared" si="6"/>
        <v>36.50870406189555</v>
      </c>
      <c r="H8" s="20">
        <f t="shared" ref="H8" si="17">SUM(H9:H16)</f>
        <v>1747</v>
      </c>
      <c r="I8" s="27">
        <f t="shared" si="8"/>
        <v>-1076</v>
      </c>
      <c r="J8" s="28">
        <f t="shared" si="9"/>
        <v>-38.115479985830675</v>
      </c>
      <c r="K8" s="20">
        <f t="shared" ref="K8" si="18">SUM(K9:K16)</f>
        <v>2814</v>
      </c>
      <c r="L8" s="27">
        <f t="shared" si="11"/>
        <v>1067</v>
      </c>
      <c r="M8" s="28">
        <f t="shared" si="12"/>
        <v>61.076130509444759</v>
      </c>
      <c r="N8" s="20">
        <f t="shared" ref="N8" si="19">SUM(N9:N16)</f>
        <v>2673</v>
      </c>
      <c r="O8" s="27">
        <f t="shared" si="14"/>
        <v>-141</v>
      </c>
      <c r="P8" s="29">
        <f t="shared" si="15"/>
        <v>-5.0106609808102345</v>
      </c>
    </row>
    <row r="9" spans="2:16" ht="15" thickBot="1">
      <c r="B9" s="9" t="s">
        <v>9</v>
      </c>
      <c r="C9" s="18" t="s">
        <v>106</v>
      </c>
      <c r="D9" s="19">
        <v>0</v>
      </c>
      <c r="E9" s="19">
        <v>0</v>
      </c>
      <c r="F9" s="27">
        <f t="shared" si="5"/>
        <v>0</v>
      </c>
      <c r="G9" s="28" t="s">
        <v>227</v>
      </c>
      <c r="H9" s="19">
        <v>0</v>
      </c>
      <c r="I9" s="27">
        <f t="shared" si="8"/>
        <v>0</v>
      </c>
      <c r="J9" s="28" t="s">
        <v>227</v>
      </c>
      <c r="K9" s="19">
        <v>0</v>
      </c>
      <c r="L9" s="27">
        <f t="shared" si="11"/>
        <v>0</v>
      </c>
      <c r="M9" s="28" t="s">
        <v>227</v>
      </c>
      <c r="N9" s="19">
        <v>0</v>
      </c>
      <c r="O9" s="27">
        <f t="shared" si="14"/>
        <v>0</v>
      </c>
      <c r="P9" s="28" t="s">
        <v>227</v>
      </c>
    </row>
    <row r="10" spans="2:16" ht="15" thickBot="1">
      <c r="B10" s="9" t="s">
        <v>11</v>
      </c>
      <c r="C10" s="18" t="s">
        <v>107</v>
      </c>
      <c r="D10" s="19">
        <v>0</v>
      </c>
      <c r="E10" s="19">
        <v>0</v>
      </c>
      <c r="F10" s="27">
        <f t="shared" si="5"/>
        <v>0</v>
      </c>
      <c r="G10" s="28" t="s">
        <v>227</v>
      </c>
      <c r="H10" s="19">
        <v>0</v>
      </c>
      <c r="I10" s="27">
        <f t="shared" si="8"/>
        <v>0</v>
      </c>
      <c r="J10" s="28" t="s">
        <v>227</v>
      </c>
      <c r="K10" s="19">
        <v>0</v>
      </c>
      <c r="L10" s="27">
        <f t="shared" si="11"/>
        <v>0</v>
      </c>
      <c r="M10" s="28" t="s">
        <v>227</v>
      </c>
      <c r="N10" s="19">
        <v>0</v>
      </c>
      <c r="O10" s="27">
        <f t="shared" si="14"/>
        <v>0</v>
      </c>
      <c r="P10" s="28" t="s">
        <v>227</v>
      </c>
    </row>
    <row r="11" spans="2:16" ht="15" thickBot="1">
      <c r="B11" s="9" t="s">
        <v>13</v>
      </c>
      <c r="C11" s="18" t="s">
        <v>108</v>
      </c>
      <c r="D11" s="19">
        <v>1923</v>
      </c>
      <c r="E11" s="19">
        <v>2285</v>
      </c>
      <c r="F11" s="27">
        <f t="shared" si="5"/>
        <v>362</v>
      </c>
      <c r="G11" s="28">
        <f t="shared" si="6"/>
        <v>18.824752990119606</v>
      </c>
      <c r="H11" s="19">
        <v>1621</v>
      </c>
      <c r="I11" s="27">
        <f t="shared" si="8"/>
        <v>-664</v>
      </c>
      <c r="J11" s="28">
        <f t="shared" si="9"/>
        <v>-29.059080962800877</v>
      </c>
      <c r="K11" s="19">
        <v>1493</v>
      </c>
      <c r="L11" s="27">
        <f t="shared" si="11"/>
        <v>-128</v>
      </c>
      <c r="M11" s="28">
        <f t="shared" si="12"/>
        <v>-7.8963602714373842</v>
      </c>
      <c r="N11" s="19">
        <v>2525</v>
      </c>
      <c r="O11" s="27">
        <f t="shared" si="14"/>
        <v>1032</v>
      </c>
      <c r="P11" s="29">
        <f t="shared" si="15"/>
        <v>69.122572002679178</v>
      </c>
    </row>
    <row r="12" spans="2:16" ht="15" thickBot="1">
      <c r="B12" s="9" t="s">
        <v>25</v>
      </c>
      <c r="C12" s="18" t="s">
        <v>109</v>
      </c>
      <c r="D12" s="19">
        <v>0</v>
      </c>
      <c r="E12" s="19">
        <v>0</v>
      </c>
      <c r="F12" s="27">
        <f t="shared" si="5"/>
        <v>0</v>
      </c>
      <c r="G12" s="28" t="s">
        <v>227</v>
      </c>
      <c r="H12" s="19">
        <v>0</v>
      </c>
      <c r="I12" s="27">
        <f t="shared" si="8"/>
        <v>0</v>
      </c>
      <c r="J12" s="28" t="s">
        <v>227</v>
      </c>
      <c r="K12" s="19">
        <v>0</v>
      </c>
      <c r="L12" s="27">
        <f t="shared" si="11"/>
        <v>0</v>
      </c>
      <c r="M12" s="28" t="s">
        <v>227</v>
      </c>
      <c r="N12" s="19">
        <v>0</v>
      </c>
      <c r="O12" s="27">
        <f t="shared" si="14"/>
        <v>0</v>
      </c>
      <c r="P12" s="28" t="s">
        <v>227</v>
      </c>
    </row>
    <row r="13" spans="2:16" ht="15" thickBot="1">
      <c r="B13" s="9" t="s">
        <v>110</v>
      </c>
      <c r="C13" s="18" t="s">
        <v>111</v>
      </c>
      <c r="D13" s="19">
        <v>0</v>
      </c>
      <c r="E13" s="19">
        <v>0</v>
      </c>
      <c r="F13" s="27">
        <f t="shared" si="5"/>
        <v>0</v>
      </c>
      <c r="G13" s="28" t="s">
        <v>227</v>
      </c>
      <c r="H13" s="19">
        <v>0</v>
      </c>
      <c r="I13" s="27">
        <f t="shared" si="8"/>
        <v>0</v>
      </c>
      <c r="J13" s="28" t="s">
        <v>227</v>
      </c>
      <c r="K13" s="19">
        <v>0</v>
      </c>
      <c r="L13" s="27">
        <f t="shared" si="11"/>
        <v>0</v>
      </c>
      <c r="M13" s="28" t="s">
        <v>227</v>
      </c>
      <c r="N13" s="19">
        <v>0</v>
      </c>
      <c r="O13" s="27">
        <f t="shared" si="14"/>
        <v>0</v>
      </c>
      <c r="P13" s="28" t="s">
        <v>227</v>
      </c>
    </row>
    <row r="14" spans="2:16" ht="15" thickBot="1">
      <c r="B14" s="9" t="s">
        <v>112</v>
      </c>
      <c r="C14" s="18" t="s">
        <v>113</v>
      </c>
      <c r="D14" s="19">
        <v>0</v>
      </c>
      <c r="E14" s="19">
        <v>0</v>
      </c>
      <c r="F14" s="27">
        <f t="shared" si="5"/>
        <v>0</v>
      </c>
      <c r="G14" s="28" t="s">
        <v>227</v>
      </c>
      <c r="H14" s="19">
        <v>0</v>
      </c>
      <c r="I14" s="27">
        <f t="shared" si="8"/>
        <v>0</v>
      </c>
      <c r="J14" s="28" t="s">
        <v>227</v>
      </c>
      <c r="K14" s="19">
        <v>0</v>
      </c>
      <c r="L14" s="27">
        <f t="shared" si="11"/>
        <v>0</v>
      </c>
      <c r="M14" s="28" t="s">
        <v>227</v>
      </c>
      <c r="N14" s="19">
        <v>0</v>
      </c>
      <c r="O14" s="27">
        <f t="shared" si="14"/>
        <v>0</v>
      </c>
      <c r="P14" s="28" t="s">
        <v>227</v>
      </c>
    </row>
    <row r="15" spans="2:16" ht="15" thickBot="1">
      <c r="B15" s="9" t="s">
        <v>114</v>
      </c>
      <c r="C15" s="18" t="s">
        <v>115</v>
      </c>
      <c r="D15" s="19">
        <v>145</v>
      </c>
      <c r="E15" s="19">
        <v>538</v>
      </c>
      <c r="F15" s="27">
        <f t="shared" si="5"/>
        <v>393</v>
      </c>
      <c r="G15" s="28">
        <f t="shared" si="6"/>
        <v>271.0344827586207</v>
      </c>
      <c r="H15" s="19">
        <v>126</v>
      </c>
      <c r="I15" s="27">
        <f t="shared" si="8"/>
        <v>-412</v>
      </c>
      <c r="J15" s="28">
        <f t="shared" si="9"/>
        <v>-76.579925650557627</v>
      </c>
      <c r="K15" s="19">
        <v>1321</v>
      </c>
      <c r="L15" s="27">
        <f t="shared" si="11"/>
        <v>1195</v>
      </c>
      <c r="M15" s="28">
        <f t="shared" si="12"/>
        <v>948.41269841269843</v>
      </c>
      <c r="N15" s="19">
        <v>148</v>
      </c>
      <c r="O15" s="27">
        <f t="shared" si="14"/>
        <v>-1173</v>
      </c>
      <c r="P15" s="29">
        <f t="shared" si="15"/>
        <v>-88.796366389099163</v>
      </c>
    </row>
    <row r="16" spans="2:16" ht="15" thickBot="1">
      <c r="B16" s="9" t="s">
        <v>116</v>
      </c>
      <c r="C16" s="18" t="s">
        <v>117</v>
      </c>
      <c r="D16" s="19">
        <v>0</v>
      </c>
      <c r="E16" s="19">
        <v>0</v>
      </c>
      <c r="F16" s="27">
        <f t="shared" si="5"/>
        <v>0</v>
      </c>
      <c r="G16" s="28" t="s">
        <v>227</v>
      </c>
      <c r="H16" s="19">
        <v>0</v>
      </c>
      <c r="I16" s="27">
        <f t="shared" si="8"/>
        <v>0</v>
      </c>
      <c r="J16" s="28" t="s">
        <v>227</v>
      </c>
      <c r="K16" s="19">
        <v>0</v>
      </c>
      <c r="L16" s="27">
        <f t="shared" si="11"/>
        <v>0</v>
      </c>
      <c r="M16" s="28" t="s">
        <v>227</v>
      </c>
      <c r="N16" s="19">
        <v>0</v>
      </c>
      <c r="O16" s="27">
        <f t="shared" si="14"/>
        <v>0</v>
      </c>
      <c r="P16" s="28" t="s">
        <v>227</v>
      </c>
    </row>
    <row r="17" spans="2:16" ht="15" thickBot="1">
      <c r="B17" s="9" t="s">
        <v>7</v>
      </c>
      <c r="C17" s="24" t="s">
        <v>118</v>
      </c>
      <c r="D17" s="23">
        <f>SUM(D18:D26)</f>
        <v>75904</v>
      </c>
      <c r="E17" s="23">
        <f t="shared" ref="E17" si="20">SUM(E18:E26)</f>
        <v>107463</v>
      </c>
      <c r="F17" s="27">
        <f t="shared" si="5"/>
        <v>31559</v>
      </c>
      <c r="G17" s="28">
        <f t="shared" si="6"/>
        <v>41.577518971332211</v>
      </c>
      <c r="H17" s="23">
        <f t="shared" ref="H17" si="21">SUM(H18:H26)</f>
        <v>114529</v>
      </c>
      <c r="I17" s="27">
        <f t="shared" si="8"/>
        <v>7066</v>
      </c>
      <c r="J17" s="28">
        <f t="shared" si="9"/>
        <v>6.5752863776369548</v>
      </c>
      <c r="K17" s="23">
        <f t="shared" ref="K17" si="22">SUM(K18:K26)</f>
        <v>109073</v>
      </c>
      <c r="L17" s="27">
        <f t="shared" si="11"/>
        <v>-5456</v>
      </c>
      <c r="M17" s="28">
        <f t="shared" si="12"/>
        <v>-4.7638589352914984</v>
      </c>
      <c r="N17" s="23">
        <f t="shared" ref="N17" si="23">SUM(N18:N26)</f>
        <v>119380</v>
      </c>
      <c r="O17" s="27">
        <f t="shared" si="14"/>
        <v>10307</v>
      </c>
      <c r="P17" s="29">
        <f t="shared" si="15"/>
        <v>9.4496346483547704</v>
      </c>
    </row>
    <row r="18" spans="2:16" ht="15" thickBot="1">
      <c r="B18" s="9" t="s">
        <v>9</v>
      </c>
      <c r="C18" s="18" t="s">
        <v>119</v>
      </c>
      <c r="D18" s="19">
        <v>3526</v>
      </c>
      <c r="E18" s="19">
        <v>4123</v>
      </c>
      <c r="F18" s="27">
        <f t="shared" si="5"/>
        <v>597</v>
      </c>
      <c r="G18" s="28">
        <f t="shared" si="6"/>
        <v>16.931366988088488</v>
      </c>
      <c r="H18" s="19">
        <v>5421</v>
      </c>
      <c r="I18" s="27">
        <f t="shared" si="8"/>
        <v>1298</v>
      </c>
      <c r="J18" s="28">
        <f t="shared" si="9"/>
        <v>31.481930633034199</v>
      </c>
      <c r="K18" s="19">
        <v>5462</v>
      </c>
      <c r="L18" s="27">
        <f t="shared" si="11"/>
        <v>41</v>
      </c>
      <c r="M18" s="28">
        <f t="shared" si="12"/>
        <v>0.75631802250507285</v>
      </c>
      <c r="N18" s="19">
        <v>6317</v>
      </c>
      <c r="O18" s="27">
        <f t="shared" si="14"/>
        <v>855</v>
      </c>
      <c r="P18" s="29">
        <f t="shared" si="15"/>
        <v>15.653606737458805</v>
      </c>
    </row>
    <row r="19" spans="2:16" ht="15" thickBot="1">
      <c r="B19" s="9" t="s">
        <v>11</v>
      </c>
      <c r="C19" s="18" t="s">
        <v>120</v>
      </c>
      <c r="D19" s="22">
        <v>41235</v>
      </c>
      <c r="E19" s="22">
        <v>49983</v>
      </c>
      <c r="F19" s="27">
        <f t="shared" si="5"/>
        <v>8748</v>
      </c>
      <c r="G19" s="28">
        <f t="shared" si="6"/>
        <v>21.214987268097492</v>
      </c>
      <c r="H19" s="22">
        <v>49123</v>
      </c>
      <c r="I19" s="27">
        <f t="shared" si="8"/>
        <v>-860</v>
      </c>
      <c r="J19" s="28">
        <f t="shared" si="9"/>
        <v>-1.7205849988996258</v>
      </c>
      <c r="K19" s="22">
        <v>56245</v>
      </c>
      <c r="L19" s="27">
        <f t="shared" si="11"/>
        <v>7122</v>
      </c>
      <c r="M19" s="28">
        <f>(K19-H19)/ABS(H19)*100</f>
        <v>14.498300185249272</v>
      </c>
      <c r="N19" s="22">
        <v>63128</v>
      </c>
      <c r="O19" s="27">
        <f t="shared" si="14"/>
        <v>6883</v>
      </c>
      <c r="P19" s="29">
        <f t="shared" si="15"/>
        <v>12.237532225086674</v>
      </c>
    </row>
    <row r="20" spans="2:16" ht="15" thickBot="1">
      <c r="B20" s="9" t="s">
        <v>13</v>
      </c>
      <c r="C20" s="18" t="s">
        <v>121</v>
      </c>
      <c r="D20" s="22">
        <v>23562</v>
      </c>
      <c r="E20" s="22">
        <v>47348</v>
      </c>
      <c r="F20" s="27">
        <f t="shared" si="5"/>
        <v>23786</v>
      </c>
      <c r="G20" s="28">
        <f t="shared" si="6"/>
        <v>100.95068330362449</v>
      </c>
      <c r="H20" s="22">
        <v>55214</v>
      </c>
      <c r="I20" s="27">
        <f t="shared" si="8"/>
        <v>7866</v>
      </c>
      <c r="J20" s="28">
        <f t="shared" si="9"/>
        <v>16.613162118780096</v>
      </c>
      <c r="K20" s="19">
        <v>45132</v>
      </c>
      <c r="L20" s="27">
        <f t="shared" si="11"/>
        <v>-10082</v>
      </c>
      <c r="M20" s="28">
        <f t="shared" si="12"/>
        <v>-18.259861629296918</v>
      </c>
      <c r="N20" s="19">
        <v>49216</v>
      </c>
      <c r="O20" s="27">
        <f t="shared" si="14"/>
        <v>4084</v>
      </c>
      <c r="P20" s="29">
        <f t="shared" si="15"/>
        <v>9.0490117876451297</v>
      </c>
    </row>
    <row r="21" spans="2:16" ht="15" thickBot="1">
      <c r="B21" s="9" t="s">
        <v>25</v>
      </c>
      <c r="C21" s="18" t="s">
        <v>122</v>
      </c>
      <c r="D21" s="19">
        <v>0</v>
      </c>
      <c r="E21" s="19">
        <v>0</v>
      </c>
      <c r="F21" s="27">
        <f t="shared" si="5"/>
        <v>0</v>
      </c>
      <c r="G21" s="28" t="s">
        <v>227</v>
      </c>
      <c r="H21" s="19">
        <v>0</v>
      </c>
      <c r="I21" s="27">
        <f t="shared" si="8"/>
        <v>0</v>
      </c>
      <c r="J21" s="28" t="s">
        <v>227</v>
      </c>
      <c r="K21" s="19">
        <v>0</v>
      </c>
      <c r="L21" s="27">
        <f t="shared" si="11"/>
        <v>0</v>
      </c>
      <c r="M21" s="28" t="s">
        <v>227</v>
      </c>
      <c r="N21" s="19">
        <v>0</v>
      </c>
      <c r="O21" s="27">
        <f t="shared" si="14"/>
        <v>0</v>
      </c>
      <c r="P21" s="28" t="s">
        <v>227</v>
      </c>
    </row>
    <row r="22" spans="2:16" ht="15" thickBot="1">
      <c r="B22" s="9" t="s">
        <v>110</v>
      </c>
      <c r="C22" s="18" t="s">
        <v>123</v>
      </c>
      <c r="D22" s="19">
        <v>0</v>
      </c>
      <c r="E22" s="19">
        <v>0</v>
      </c>
      <c r="F22" s="27">
        <f t="shared" si="5"/>
        <v>0</v>
      </c>
      <c r="G22" s="28" t="s">
        <v>227</v>
      </c>
      <c r="H22" s="19">
        <v>0</v>
      </c>
      <c r="I22" s="27">
        <f t="shared" si="8"/>
        <v>0</v>
      </c>
      <c r="J22" s="28" t="s">
        <v>227</v>
      </c>
      <c r="K22" s="19">
        <v>0</v>
      </c>
      <c r="L22" s="27">
        <f t="shared" si="11"/>
        <v>0</v>
      </c>
      <c r="M22" s="28" t="s">
        <v>227</v>
      </c>
      <c r="N22" s="19">
        <v>0</v>
      </c>
      <c r="O22" s="27">
        <f t="shared" si="14"/>
        <v>0</v>
      </c>
      <c r="P22" s="28" t="s">
        <v>227</v>
      </c>
    </row>
    <row r="23" spans="2:16" ht="15" thickBot="1">
      <c r="B23" s="9" t="s">
        <v>112</v>
      </c>
      <c r="C23" s="18" t="s">
        <v>124</v>
      </c>
      <c r="D23" s="19">
        <v>0</v>
      </c>
      <c r="E23" s="19">
        <v>0</v>
      </c>
      <c r="F23" s="27">
        <f t="shared" si="5"/>
        <v>0</v>
      </c>
      <c r="G23" s="28" t="s">
        <v>227</v>
      </c>
      <c r="H23" s="19">
        <v>0</v>
      </c>
      <c r="I23" s="27">
        <f t="shared" si="8"/>
        <v>0</v>
      </c>
      <c r="J23" s="28" t="s">
        <v>227</v>
      </c>
      <c r="K23" s="19">
        <v>0</v>
      </c>
      <c r="L23" s="27">
        <f t="shared" si="11"/>
        <v>0</v>
      </c>
      <c r="M23" s="28" t="s">
        <v>227</v>
      </c>
      <c r="N23" s="19">
        <v>0</v>
      </c>
      <c r="O23" s="27">
        <f t="shared" si="14"/>
        <v>0</v>
      </c>
      <c r="P23" s="28" t="s">
        <v>227</v>
      </c>
    </row>
    <row r="24" spans="2:16" ht="15" thickBot="1">
      <c r="B24" s="9" t="s">
        <v>114</v>
      </c>
      <c r="C24" s="18" t="s">
        <v>125</v>
      </c>
      <c r="D24" s="19">
        <v>4128</v>
      </c>
      <c r="E24" s="19">
        <v>193</v>
      </c>
      <c r="F24" s="27">
        <f t="shared" si="5"/>
        <v>-3935</v>
      </c>
      <c r="G24" s="28">
        <f t="shared" si="6"/>
        <v>-95.324612403100772</v>
      </c>
      <c r="H24" s="19">
        <v>3417</v>
      </c>
      <c r="I24" s="27">
        <f t="shared" si="8"/>
        <v>3224</v>
      </c>
      <c r="J24" s="28">
        <f t="shared" si="9"/>
        <v>1670.4663212435232</v>
      </c>
      <c r="K24" s="19">
        <v>625</v>
      </c>
      <c r="L24" s="27">
        <f>K24-H24</f>
        <v>-2792</v>
      </c>
      <c r="M24" s="28">
        <f t="shared" si="12"/>
        <v>-81.709101551068187</v>
      </c>
      <c r="N24" s="19">
        <v>513</v>
      </c>
      <c r="O24" s="27">
        <f t="shared" si="14"/>
        <v>-112</v>
      </c>
      <c r="P24" s="29">
        <f t="shared" si="15"/>
        <v>-17.919999999999998</v>
      </c>
    </row>
    <row r="25" spans="2:16" ht="15" thickBot="1">
      <c r="B25" s="9" t="s">
        <v>116</v>
      </c>
      <c r="C25" s="18" t="s">
        <v>126</v>
      </c>
      <c r="D25" s="19">
        <v>2801</v>
      </c>
      <c r="E25" s="19">
        <v>5323</v>
      </c>
      <c r="F25" s="27">
        <f t="shared" si="5"/>
        <v>2522</v>
      </c>
      <c r="G25" s="28">
        <f t="shared" si="6"/>
        <v>90.039271688682604</v>
      </c>
      <c r="H25" s="19">
        <v>1026</v>
      </c>
      <c r="I25" s="27">
        <f t="shared" si="8"/>
        <v>-4297</v>
      </c>
      <c r="J25" s="28">
        <f t="shared" si="9"/>
        <v>-80.725154987788841</v>
      </c>
      <c r="K25" s="19">
        <v>1417</v>
      </c>
      <c r="L25" s="27">
        <f t="shared" ref="L25:L38" si="24">K25-H25</f>
        <v>391</v>
      </c>
      <c r="M25" s="28">
        <f t="shared" si="12"/>
        <v>38.109161793372323</v>
      </c>
      <c r="N25" s="19">
        <v>93</v>
      </c>
      <c r="O25" s="27">
        <f t="shared" si="14"/>
        <v>-1324</v>
      </c>
      <c r="P25" s="29">
        <f t="shared" si="15"/>
        <v>-93.436838390966841</v>
      </c>
    </row>
    <row r="26" spans="2:16" ht="15" thickBot="1">
      <c r="B26" s="9" t="s">
        <v>127</v>
      </c>
      <c r="C26" s="18" t="s">
        <v>128</v>
      </c>
      <c r="D26" s="19">
        <v>652</v>
      </c>
      <c r="E26" s="19">
        <v>493</v>
      </c>
      <c r="F26" s="27">
        <f t="shared" si="5"/>
        <v>-159</v>
      </c>
      <c r="G26" s="28">
        <f t="shared" si="6"/>
        <v>-24.386503067484664</v>
      </c>
      <c r="H26" s="19">
        <v>328</v>
      </c>
      <c r="I26" s="27">
        <f t="shared" si="8"/>
        <v>-165</v>
      </c>
      <c r="J26" s="28">
        <f t="shared" si="9"/>
        <v>-33.468559837728193</v>
      </c>
      <c r="K26" s="19">
        <v>192</v>
      </c>
      <c r="L26" s="27">
        <f t="shared" si="24"/>
        <v>-136</v>
      </c>
      <c r="M26" s="28">
        <f t="shared" si="12"/>
        <v>-41.463414634146339</v>
      </c>
      <c r="N26" s="19">
        <v>113</v>
      </c>
      <c r="O26" s="27">
        <f t="shared" si="14"/>
        <v>-79</v>
      </c>
      <c r="P26" s="29">
        <f t="shared" si="15"/>
        <v>-41.145833333333329</v>
      </c>
    </row>
    <row r="27" spans="2:16" ht="15" thickBot="1">
      <c r="B27" s="9" t="s">
        <v>31</v>
      </c>
      <c r="C27" s="24" t="s">
        <v>129</v>
      </c>
      <c r="D27" s="20">
        <f>SUM(D28:D34)</f>
        <v>0</v>
      </c>
      <c r="E27" s="20">
        <f t="shared" ref="E27" si="25">SUM(E28:E34)</f>
        <v>0</v>
      </c>
      <c r="F27" s="27">
        <f t="shared" si="5"/>
        <v>0</v>
      </c>
      <c r="G27" s="28" t="s">
        <v>227</v>
      </c>
      <c r="H27" s="20">
        <f t="shared" ref="H27" si="26">SUM(H28:H34)</f>
        <v>0</v>
      </c>
      <c r="I27" s="27">
        <f t="shared" si="8"/>
        <v>0</v>
      </c>
      <c r="J27" s="28" t="s">
        <v>227</v>
      </c>
      <c r="K27" s="20">
        <f t="shared" ref="K27" si="27">SUM(K28:K34)</f>
        <v>0</v>
      </c>
      <c r="L27" s="27">
        <f t="shared" si="24"/>
        <v>0</v>
      </c>
      <c r="M27" s="28" t="s">
        <v>227</v>
      </c>
      <c r="N27" s="20">
        <f t="shared" ref="N27" si="28">SUM(N28:N34)</f>
        <v>0</v>
      </c>
      <c r="O27" s="27">
        <f t="shared" si="14"/>
        <v>0</v>
      </c>
      <c r="P27" s="28" t="s">
        <v>227</v>
      </c>
    </row>
    <row r="28" spans="2:16" ht="15" thickBot="1">
      <c r="B28" s="9" t="s">
        <v>9</v>
      </c>
      <c r="C28" s="18" t="s">
        <v>130</v>
      </c>
      <c r="D28" s="19">
        <v>0</v>
      </c>
      <c r="E28" s="19">
        <v>0</v>
      </c>
      <c r="F28" s="27">
        <f t="shared" si="5"/>
        <v>0</v>
      </c>
      <c r="G28" s="28" t="s">
        <v>227</v>
      </c>
      <c r="H28" s="19">
        <v>0</v>
      </c>
      <c r="I28" s="27">
        <f t="shared" si="8"/>
        <v>0</v>
      </c>
      <c r="J28" s="28" t="s">
        <v>227</v>
      </c>
      <c r="K28" s="19">
        <v>0</v>
      </c>
      <c r="L28" s="27">
        <f t="shared" si="24"/>
        <v>0</v>
      </c>
      <c r="M28" s="28" t="s">
        <v>227</v>
      </c>
      <c r="N28" s="19">
        <v>0</v>
      </c>
      <c r="O28" s="27">
        <f t="shared" si="14"/>
        <v>0</v>
      </c>
      <c r="P28" s="28" t="s">
        <v>227</v>
      </c>
    </row>
    <row r="29" spans="2:16" ht="15" thickBot="1">
      <c r="B29" s="9" t="s">
        <v>11</v>
      </c>
      <c r="C29" s="18" t="s">
        <v>131</v>
      </c>
      <c r="D29" s="19">
        <v>0</v>
      </c>
      <c r="E29" s="19">
        <v>0</v>
      </c>
      <c r="F29" s="27">
        <f t="shared" si="5"/>
        <v>0</v>
      </c>
      <c r="G29" s="28" t="s">
        <v>227</v>
      </c>
      <c r="H29" s="19">
        <v>0</v>
      </c>
      <c r="I29" s="27">
        <f t="shared" si="8"/>
        <v>0</v>
      </c>
      <c r="J29" s="28" t="s">
        <v>227</v>
      </c>
      <c r="K29" s="19">
        <v>0</v>
      </c>
      <c r="L29" s="27">
        <f t="shared" si="24"/>
        <v>0</v>
      </c>
      <c r="M29" s="28" t="s">
        <v>227</v>
      </c>
      <c r="N29" s="19">
        <v>0</v>
      </c>
      <c r="O29" s="27">
        <f t="shared" si="14"/>
        <v>0</v>
      </c>
      <c r="P29" s="28" t="s">
        <v>227</v>
      </c>
    </row>
    <row r="30" spans="2:16" ht="15" thickBot="1">
      <c r="B30" s="9" t="s">
        <v>13</v>
      </c>
      <c r="C30" s="18" t="s">
        <v>132</v>
      </c>
      <c r="D30" s="19">
        <v>0</v>
      </c>
      <c r="E30" s="19">
        <v>0</v>
      </c>
      <c r="F30" s="27">
        <f t="shared" si="5"/>
        <v>0</v>
      </c>
      <c r="G30" s="28" t="s">
        <v>227</v>
      </c>
      <c r="H30" s="19">
        <v>0</v>
      </c>
      <c r="I30" s="27">
        <f t="shared" si="8"/>
        <v>0</v>
      </c>
      <c r="J30" s="28" t="s">
        <v>227</v>
      </c>
      <c r="K30" s="19">
        <v>0</v>
      </c>
      <c r="L30" s="27">
        <f t="shared" si="24"/>
        <v>0</v>
      </c>
      <c r="M30" s="28" t="s">
        <v>227</v>
      </c>
      <c r="N30" s="19">
        <v>0</v>
      </c>
      <c r="O30" s="27">
        <f t="shared" si="14"/>
        <v>0</v>
      </c>
      <c r="P30" s="28" t="s">
        <v>227</v>
      </c>
    </row>
    <row r="31" spans="2:16" ht="15" thickBot="1">
      <c r="B31" s="9" t="s">
        <v>25</v>
      </c>
      <c r="C31" s="18" t="s">
        <v>133</v>
      </c>
      <c r="D31" s="19">
        <v>0</v>
      </c>
      <c r="E31" s="19">
        <v>0</v>
      </c>
      <c r="F31" s="27">
        <f t="shared" si="5"/>
        <v>0</v>
      </c>
      <c r="G31" s="28" t="s">
        <v>227</v>
      </c>
      <c r="H31" s="19">
        <v>0</v>
      </c>
      <c r="I31" s="27">
        <f t="shared" si="8"/>
        <v>0</v>
      </c>
      <c r="J31" s="28" t="s">
        <v>227</v>
      </c>
      <c r="K31" s="19">
        <v>0</v>
      </c>
      <c r="L31" s="27">
        <f t="shared" si="24"/>
        <v>0</v>
      </c>
      <c r="M31" s="28" t="s">
        <v>227</v>
      </c>
      <c r="N31" s="19">
        <v>0</v>
      </c>
      <c r="O31" s="27">
        <f t="shared" si="14"/>
        <v>0</v>
      </c>
      <c r="P31" s="28" t="s">
        <v>227</v>
      </c>
    </row>
    <row r="32" spans="2:16" ht="15" thickBot="1">
      <c r="B32" s="9" t="s">
        <v>110</v>
      </c>
      <c r="C32" s="18" t="s">
        <v>134</v>
      </c>
      <c r="D32" s="19">
        <v>0</v>
      </c>
      <c r="E32" s="19">
        <v>0</v>
      </c>
      <c r="F32" s="27">
        <f t="shared" si="5"/>
        <v>0</v>
      </c>
      <c r="G32" s="28" t="s">
        <v>227</v>
      </c>
      <c r="H32" s="19">
        <v>0</v>
      </c>
      <c r="I32" s="27">
        <f t="shared" si="8"/>
        <v>0</v>
      </c>
      <c r="J32" s="28" t="s">
        <v>227</v>
      </c>
      <c r="K32" s="19">
        <v>0</v>
      </c>
      <c r="L32" s="27">
        <f t="shared" si="24"/>
        <v>0</v>
      </c>
      <c r="M32" s="28" t="s">
        <v>227</v>
      </c>
      <c r="N32" s="19">
        <v>0</v>
      </c>
      <c r="O32" s="27">
        <f t="shared" si="14"/>
        <v>0</v>
      </c>
      <c r="P32" s="28" t="s">
        <v>227</v>
      </c>
    </row>
    <row r="33" spans="2:16" ht="15" thickBot="1">
      <c r="B33" s="9" t="s">
        <v>112</v>
      </c>
      <c r="C33" s="18" t="s">
        <v>135</v>
      </c>
      <c r="D33" s="19">
        <v>0</v>
      </c>
      <c r="E33" s="19">
        <v>0</v>
      </c>
      <c r="F33" s="27">
        <f t="shared" si="5"/>
        <v>0</v>
      </c>
      <c r="G33" s="28" t="s">
        <v>227</v>
      </c>
      <c r="H33" s="19">
        <v>0</v>
      </c>
      <c r="I33" s="27">
        <f t="shared" si="8"/>
        <v>0</v>
      </c>
      <c r="J33" s="28" t="s">
        <v>227</v>
      </c>
      <c r="K33" s="19">
        <v>0</v>
      </c>
      <c r="L33" s="27">
        <f t="shared" si="24"/>
        <v>0</v>
      </c>
      <c r="M33" s="28" t="s">
        <v>227</v>
      </c>
      <c r="N33" s="19">
        <v>0</v>
      </c>
      <c r="O33" s="27">
        <f t="shared" si="14"/>
        <v>0</v>
      </c>
      <c r="P33" s="28" t="s">
        <v>227</v>
      </c>
    </row>
    <row r="34" spans="2:16" ht="15" thickBot="1">
      <c r="B34" s="9" t="s">
        <v>114</v>
      </c>
      <c r="C34" s="18" t="s">
        <v>136</v>
      </c>
      <c r="D34" s="19">
        <v>0</v>
      </c>
      <c r="E34" s="19">
        <v>0</v>
      </c>
      <c r="F34" s="27">
        <f t="shared" si="5"/>
        <v>0</v>
      </c>
      <c r="G34" s="28" t="s">
        <v>227</v>
      </c>
      <c r="H34" s="19">
        <v>0</v>
      </c>
      <c r="I34" s="27">
        <f t="shared" si="8"/>
        <v>0</v>
      </c>
      <c r="J34" s="28" t="s">
        <v>227</v>
      </c>
      <c r="K34" s="19">
        <v>0</v>
      </c>
      <c r="L34" s="27">
        <f t="shared" si="24"/>
        <v>0</v>
      </c>
      <c r="M34" s="28" t="s">
        <v>227</v>
      </c>
      <c r="N34" s="19">
        <v>0</v>
      </c>
      <c r="O34" s="27">
        <f t="shared" si="14"/>
        <v>0</v>
      </c>
      <c r="P34" s="28" t="s">
        <v>227</v>
      </c>
    </row>
    <row r="35" spans="2:16" ht="15" thickBot="1">
      <c r="B35" s="172" t="s">
        <v>20</v>
      </c>
      <c r="C35" s="21" t="s">
        <v>137</v>
      </c>
      <c r="D35" s="23">
        <f>D36+D43+D52+D62</f>
        <v>69989</v>
      </c>
      <c r="E35" s="23">
        <f>E36+E43+E52+E62</f>
        <v>77665</v>
      </c>
      <c r="F35" s="27">
        <f t="shared" si="5"/>
        <v>7676</v>
      </c>
      <c r="G35" s="28">
        <f t="shared" si="6"/>
        <v>10.967437740216319</v>
      </c>
      <c r="H35" s="23">
        <f t="shared" ref="H35" si="29">H36+H43+H52+H62</f>
        <v>89365</v>
      </c>
      <c r="I35" s="27">
        <f t="shared" si="8"/>
        <v>11700</v>
      </c>
      <c r="J35" s="28">
        <f t="shared" si="9"/>
        <v>15.064700959248054</v>
      </c>
      <c r="K35" s="23">
        <f t="shared" ref="K35" si="30">K36+K43+K52+K62</f>
        <v>101171</v>
      </c>
      <c r="L35" s="27">
        <f t="shared" si="24"/>
        <v>11806</v>
      </c>
      <c r="M35" s="28">
        <f t="shared" si="12"/>
        <v>13.210988642085827</v>
      </c>
      <c r="N35" s="23">
        <f t="shared" ref="N35" si="31">N36+N43+N52+N62</f>
        <v>110661</v>
      </c>
      <c r="O35" s="27">
        <f t="shared" si="14"/>
        <v>9490</v>
      </c>
      <c r="P35" s="29">
        <f t="shared" si="15"/>
        <v>9.3801583457710205</v>
      </c>
    </row>
    <row r="36" spans="2:16" ht="15" thickBot="1">
      <c r="B36" s="9" t="s">
        <v>1</v>
      </c>
      <c r="C36" s="24" t="s">
        <v>138</v>
      </c>
      <c r="D36" s="23">
        <f>SUM(D37:D42)</f>
        <v>25104</v>
      </c>
      <c r="E36" s="23">
        <f t="shared" ref="E36" si="32">SUM(E37:E42)</f>
        <v>29283</v>
      </c>
      <c r="F36" s="27">
        <f t="shared" si="5"/>
        <v>4179</v>
      </c>
      <c r="G36" s="28">
        <f t="shared" si="6"/>
        <v>16.646749521988529</v>
      </c>
      <c r="H36" s="23">
        <f t="shared" ref="H36" si="33">SUM(H37:H42)</f>
        <v>36662</v>
      </c>
      <c r="I36" s="27">
        <f t="shared" si="8"/>
        <v>7379</v>
      </c>
      <c r="J36" s="28">
        <f t="shared" si="9"/>
        <v>25.198920875593352</v>
      </c>
      <c r="K36" s="23">
        <f t="shared" ref="K36" si="34">SUM(K37:K42)</f>
        <v>43562</v>
      </c>
      <c r="L36" s="27">
        <f t="shared" si="24"/>
        <v>6900</v>
      </c>
      <c r="M36" s="28">
        <f t="shared" si="12"/>
        <v>18.820577164366373</v>
      </c>
      <c r="N36" s="23">
        <f t="shared" ref="N36" si="35">SUM(N37:N42)</f>
        <v>45208</v>
      </c>
      <c r="O36" s="27">
        <f t="shared" si="14"/>
        <v>1646</v>
      </c>
      <c r="P36" s="29">
        <f t="shared" si="15"/>
        <v>3.778522565538772</v>
      </c>
    </row>
    <row r="37" spans="2:16" ht="15" thickBot="1">
      <c r="B37" s="9" t="s">
        <v>9</v>
      </c>
      <c r="C37" s="18" t="s">
        <v>139</v>
      </c>
      <c r="D37" s="19">
        <v>6935</v>
      </c>
      <c r="E37" s="19">
        <v>10212</v>
      </c>
      <c r="F37" s="27">
        <f t="shared" si="5"/>
        <v>3277</v>
      </c>
      <c r="G37" s="28">
        <f>(E37-D37)/ABS(D37)*100</f>
        <v>47.253064167267482</v>
      </c>
      <c r="H37" s="19">
        <v>8623</v>
      </c>
      <c r="I37" s="27">
        <f t="shared" si="8"/>
        <v>-1589</v>
      </c>
      <c r="J37" s="28">
        <f t="shared" si="9"/>
        <v>-15.560125342734038</v>
      </c>
      <c r="K37" s="19">
        <v>9428</v>
      </c>
      <c r="L37" s="27">
        <f t="shared" si="24"/>
        <v>805</v>
      </c>
      <c r="M37" s="28">
        <f t="shared" si="12"/>
        <v>9.3354980865128141</v>
      </c>
      <c r="N37" s="19">
        <v>13126</v>
      </c>
      <c r="O37" s="27">
        <f t="shared" si="14"/>
        <v>3698</v>
      </c>
      <c r="P37" s="29">
        <f t="shared" si="15"/>
        <v>39.223589308442932</v>
      </c>
    </row>
    <row r="38" spans="2:16" ht="15" thickBot="1">
      <c r="B38" s="9" t="s">
        <v>11</v>
      </c>
      <c r="C38" s="18" t="s">
        <v>140</v>
      </c>
      <c r="D38" s="19">
        <v>3125</v>
      </c>
      <c r="E38" s="19">
        <v>3421</v>
      </c>
      <c r="F38" s="27">
        <f t="shared" si="5"/>
        <v>296</v>
      </c>
      <c r="G38" s="28">
        <f t="shared" si="6"/>
        <v>9.4719999999999995</v>
      </c>
      <c r="H38" s="19">
        <v>3936</v>
      </c>
      <c r="I38" s="27">
        <f t="shared" si="8"/>
        <v>515</v>
      </c>
      <c r="J38" s="28">
        <f t="shared" si="9"/>
        <v>15.054077755042385</v>
      </c>
      <c r="K38" s="19">
        <v>3983</v>
      </c>
      <c r="L38" s="27">
        <f t="shared" si="24"/>
        <v>47</v>
      </c>
      <c r="M38" s="28">
        <f t="shared" si="12"/>
        <v>1.1941056910569106</v>
      </c>
      <c r="N38" s="19">
        <v>4111</v>
      </c>
      <c r="O38" s="27">
        <f t="shared" si="14"/>
        <v>128</v>
      </c>
      <c r="P38" s="29">
        <f t="shared" si="15"/>
        <v>3.2136580466984683</v>
      </c>
    </row>
    <row r="39" spans="2:16" ht="15" thickBot="1">
      <c r="B39" s="9" t="s">
        <v>13</v>
      </c>
      <c r="C39" s="18" t="s">
        <v>141</v>
      </c>
      <c r="D39" s="19">
        <v>7121</v>
      </c>
      <c r="E39" s="19">
        <v>7325</v>
      </c>
      <c r="F39" s="27">
        <f t="shared" si="5"/>
        <v>204</v>
      </c>
      <c r="G39" s="28">
        <f t="shared" si="6"/>
        <v>2.8647661845246453</v>
      </c>
      <c r="H39" s="19">
        <v>11983</v>
      </c>
      <c r="I39" s="27">
        <f t="shared" si="8"/>
        <v>4658</v>
      </c>
      <c r="J39" s="28">
        <f t="shared" si="9"/>
        <v>63.590443686006829</v>
      </c>
      <c r="K39" s="19">
        <v>15516</v>
      </c>
      <c r="L39" s="27">
        <f>K39-H39</f>
        <v>3533</v>
      </c>
      <c r="M39" s="28">
        <f t="shared" si="12"/>
        <v>29.483434866060254</v>
      </c>
      <c r="N39" s="19">
        <v>13428</v>
      </c>
      <c r="O39" s="27">
        <f t="shared" si="14"/>
        <v>-2088</v>
      </c>
      <c r="P39" s="29">
        <f t="shared" si="15"/>
        <v>-13.45707656612529</v>
      </c>
    </row>
    <row r="40" spans="2:16" ht="15" thickBot="1">
      <c r="B40" s="9" t="s">
        <v>25</v>
      </c>
      <c r="C40" s="18" t="s">
        <v>142</v>
      </c>
      <c r="D40" s="19">
        <v>0</v>
      </c>
      <c r="E40" s="19">
        <v>0</v>
      </c>
      <c r="F40" s="27">
        <f t="shared" si="5"/>
        <v>0</v>
      </c>
      <c r="G40" s="28" t="s">
        <v>227</v>
      </c>
      <c r="H40" s="19">
        <v>0</v>
      </c>
      <c r="I40" s="27">
        <f t="shared" si="8"/>
        <v>0</v>
      </c>
      <c r="J40" s="28" t="s">
        <v>227</v>
      </c>
      <c r="K40" s="19">
        <v>0</v>
      </c>
      <c r="L40" s="27">
        <f t="shared" ref="L40:L55" si="36">K40-H40</f>
        <v>0</v>
      </c>
      <c r="M40" s="28" t="s">
        <v>227</v>
      </c>
      <c r="N40" s="19">
        <v>0</v>
      </c>
      <c r="O40" s="27">
        <f t="shared" si="14"/>
        <v>0</v>
      </c>
      <c r="P40" s="28" t="s">
        <v>227</v>
      </c>
    </row>
    <row r="41" spans="2:16" ht="15" thickBot="1">
      <c r="B41" s="9" t="s">
        <v>110</v>
      </c>
      <c r="C41" s="18" t="s">
        <v>143</v>
      </c>
      <c r="D41" s="22">
        <v>7923</v>
      </c>
      <c r="E41" s="19">
        <v>8325</v>
      </c>
      <c r="F41" s="27">
        <f t="shared" si="5"/>
        <v>402</v>
      </c>
      <c r="G41" s="28">
        <f t="shared" si="6"/>
        <v>5.0738356683074599</v>
      </c>
      <c r="H41" s="22">
        <v>12117</v>
      </c>
      <c r="I41" s="27">
        <f t="shared" si="8"/>
        <v>3792</v>
      </c>
      <c r="J41" s="28">
        <f t="shared" si="9"/>
        <v>45.549549549549553</v>
      </c>
      <c r="K41" s="19">
        <v>14635</v>
      </c>
      <c r="L41" s="27">
        <f t="shared" si="36"/>
        <v>2518</v>
      </c>
      <c r="M41" s="28">
        <f t="shared" si="12"/>
        <v>20.780721300651976</v>
      </c>
      <c r="N41" s="19">
        <v>14543</v>
      </c>
      <c r="O41" s="27">
        <f t="shared" si="14"/>
        <v>-92</v>
      </c>
      <c r="P41" s="29">
        <f t="shared" si="15"/>
        <v>-0.62862999658353258</v>
      </c>
    </row>
    <row r="42" spans="2:16" ht="15" thickBot="1">
      <c r="B42" s="9" t="s">
        <v>112</v>
      </c>
      <c r="C42" s="18" t="s">
        <v>144</v>
      </c>
      <c r="D42" s="19">
        <v>0</v>
      </c>
      <c r="E42" s="19">
        <v>0</v>
      </c>
      <c r="F42" s="27">
        <f t="shared" si="5"/>
        <v>0</v>
      </c>
      <c r="G42" s="28" t="s">
        <v>227</v>
      </c>
      <c r="H42" s="19">
        <v>3</v>
      </c>
      <c r="I42" s="27">
        <f t="shared" si="8"/>
        <v>3</v>
      </c>
      <c r="J42" s="28" t="s">
        <v>227</v>
      </c>
      <c r="K42" s="19">
        <v>0</v>
      </c>
      <c r="L42" s="27">
        <f t="shared" si="36"/>
        <v>-3</v>
      </c>
      <c r="M42" s="28">
        <f t="shared" si="12"/>
        <v>-100</v>
      </c>
      <c r="N42" s="19">
        <v>0</v>
      </c>
      <c r="O42" s="27">
        <f>N42-K42</f>
        <v>0</v>
      </c>
      <c r="P42" s="28" t="s">
        <v>227</v>
      </c>
    </row>
    <row r="43" spans="2:16" ht="15" thickBot="1">
      <c r="B43" s="9" t="s">
        <v>7</v>
      </c>
      <c r="C43" s="24" t="s">
        <v>145</v>
      </c>
      <c r="D43" s="20">
        <f>SUM(D44:D51)</f>
        <v>238</v>
      </c>
      <c r="E43" s="20">
        <f t="shared" ref="E43" si="37">SUM(E44:E51)</f>
        <v>325</v>
      </c>
      <c r="F43" s="27">
        <f t="shared" si="5"/>
        <v>87</v>
      </c>
      <c r="G43" s="28">
        <f t="shared" si="6"/>
        <v>36.554621848739494</v>
      </c>
      <c r="H43" s="20">
        <f t="shared" ref="H43" si="38">SUM(H44:H51)</f>
        <v>363</v>
      </c>
      <c r="I43" s="27">
        <f t="shared" si="8"/>
        <v>38</v>
      </c>
      <c r="J43" s="28">
        <f t="shared" si="9"/>
        <v>11.692307692307692</v>
      </c>
      <c r="K43" s="20">
        <f t="shared" ref="K43" si="39">SUM(K44:K51)</f>
        <v>245</v>
      </c>
      <c r="L43" s="27">
        <f t="shared" si="36"/>
        <v>-118</v>
      </c>
      <c r="M43" s="28">
        <f t="shared" si="12"/>
        <v>-32.506887052341597</v>
      </c>
      <c r="N43" s="20">
        <f t="shared" ref="N43" si="40">SUM(N44:N51)</f>
        <v>125</v>
      </c>
      <c r="O43" s="27">
        <f t="shared" ref="O43:O54" si="41">N43-K43</f>
        <v>-120</v>
      </c>
      <c r="P43" s="29">
        <f t="shared" si="15"/>
        <v>-48.979591836734691</v>
      </c>
    </row>
    <row r="44" spans="2:16" ht="15" thickBot="1">
      <c r="B44" s="9" t="s">
        <v>9</v>
      </c>
      <c r="C44" s="18" t="s">
        <v>146</v>
      </c>
      <c r="D44" s="19">
        <v>238</v>
      </c>
      <c r="E44" s="19">
        <v>325</v>
      </c>
      <c r="F44" s="27">
        <f t="shared" si="5"/>
        <v>87</v>
      </c>
      <c r="G44" s="28">
        <f t="shared" si="6"/>
        <v>36.554621848739494</v>
      </c>
      <c r="H44" s="19">
        <v>363</v>
      </c>
      <c r="I44" s="27">
        <f t="shared" si="8"/>
        <v>38</v>
      </c>
      <c r="J44" s="28">
        <f>(H44-E44)/ABS(E44)*100</f>
        <v>11.692307692307692</v>
      </c>
      <c r="K44" s="19">
        <v>245</v>
      </c>
      <c r="L44" s="27">
        <f t="shared" si="36"/>
        <v>-118</v>
      </c>
      <c r="M44" s="28">
        <f t="shared" si="12"/>
        <v>-32.506887052341597</v>
      </c>
      <c r="N44" s="19">
        <v>125</v>
      </c>
      <c r="O44" s="27">
        <f t="shared" si="41"/>
        <v>-120</v>
      </c>
      <c r="P44" s="29">
        <f t="shared" si="15"/>
        <v>-48.979591836734691</v>
      </c>
    </row>
    <row r="45" spans="2:16" ht="15" thickBot="1">
      <c r="B45" s="9" t="s">
        <v>11</v>
      </c>
      <c r="C45" s="18" t="s">
        <v>147</v>
      </c>
      <c r="D45" s="19">
        <v>0</v>
      </c>
      <c r="E45" s="19">
        <v>0</v>
      </c>
      <c r="F45" s="27">
        <f t="shared" si="5"/>
        <v>0</v>
      </c>
      <c r="G45" s="28" t="s">
        <v>227</v>
      </c>
      <c r="H45" s="19">
        <v>0</v>
      </c>
      <c r="I45" s="27">
        <f t="shared" si="8"/>
        <v>0</v>
      </c>
      <c r="J45" s="28" t="s">
        <v>227</v>
      </c>
      <c r="K45" s="19">
        <v>0</v>
      </c>
      <c r="L45" s="27">
        <f t="shared" si="36"/>
        <v>0</v>
      </c>
      <c r="M45" s="28" t="s">
        <v>227</v>
      </c>
      <c r="N45" s="19">
        <v>0</v>
      </c>
      <c r="O45" s="27">
        <f t="shared" si="41"/>
        <v>0</v>
      </c>
      <c r="P45" s="28" t="s">
        <v>227</v>
      </c>
    </row>
    <row r="46" spans="2:16" ht="15" thickBot="1">
      <c r="B46" s="9" t="s">
        <v>13</v>
      </c>
      <c r="C46" s="18" t="s">
        <v>148</v>
      </c>
      <c r="D46" s="19">
        <v>0</v>
      </c>
      <c r="E46" s="19">
        <v>0</v>
      </c>
      <c r="F46" s="27">
        <f t="shared" si="5"/>
        <v>0</v>
      </c>
      <c r="G46" s="28" t="s">
        <v>227</v>
      </c>
      <c r="H46" s="19">
        <v>0</v>
      </c>
      <c r="I46" s="27">
        <f t="shared" si="8"/>
        <v>0</v>
      </c>
      <c r="J46" s="28" t="s">
        <v>227</v>
      </c>
      <c r="K46" s="19">
        <v>0</v>
      </c>
      <c r="L46" s="27">
        <f t="shared" si="36"/>
        <v>0</v>
      </c>
      <c r="M46" s="28" t="s">
        <v>227</v>
      </c>
      <c r="N46" s="19">
        <v>0</v>
      </c>
      <c r="O46" s="27">
        <f t="shared" si="41"/>
        <v>0</v>
      </c>
      <c r="P46" s="28" t="s">
        <v>227</v>
      </c>
    </row>
    <row r="47" spans="2:16" ht="15" thickBot="1">
      <c r="B47" s="9" t="s">
        <v>25</v>
      </c>
      <c r="C47" s="18" t="s">
        <v>149</v>
      </c>
      <c r="D47" s="19">
        <v>0</v>
      </c>
      <c r="E47" s="19">
        <v>0</v>
      </c>
      <c r="F47" s="27">
        <f t="shared" si="5"/>
        <v>0</v>
      </c>
      <c r="G47" s="28" t="s">
        <v>227</v>
      </c>
      <c r="H47" s="19">
        <v>0</v>
      </c>
      <c r="I47" s="27">
        <f t="shared" si="8"/>
        <v>0</v>
      </c>
      <c r="J47" s="28" t="s">
        <v>227</v>
      </c>
      <c r="K47" s="19">
        <v>0</v>
      </c>
      <c r="L47" s="27">
        <f t="shared" si="36"/>
        <v>0</v>
      </c>
      <c r="M47" s="28" t="s">
        <v>227</v>
      </c>
      <c r="N47" s="19">
        <v>0</v>
      </c>
      <c r="O47" s="27">
        <f t="shared" si="41"/>
        <v>0</v>
      </c>
      <c r="P47" s="28" t="s">
        <v>227</v>
      </c>
    </row>
    <row r="48" spans="2:16" ht="15" thickBot="1">
      <c r="B48" s="9" t="s">
        <v>110</v>
      </c>
      <c r="C48" s="18" t="s">
        <v>150</v>
      </c>
      <c r="D48" s="19">
        <v>0</v>
      </c>
      <c r="E48" s="19">
        <v>0</v>
      </c>
      <c r="F48" s="27">
        <f t="shared" si="5"/>
        <v>0</v>
      </c>
      <c r="G48" s="28" t="s">
        <v>227</v>
      </c>
      <c r="H48" s="19">
        <v>0</v>
      </c>
      <c r="I48" s="27">
        <f t="shared" si="8"/>
        <v>0</v>
      </c>
      <c r="J48" s="28" t="s">
        <v>227</v>
      </c>
      <c r="K48" s="19">
        <v>0</v>
      </c>
      <c r="L48" s="27">
        <f t="shared" si="36"/>
        <v>0</v>
      </c>
      <c r="M48" s="28" t="s">
        <v>227</v>
      </c>
      <c r="N48" s="19">
        <v>0</v>
      </c>
      <c r="O48" s="27">
        <f t="shared" si="41"/>
        <v>0</v>
      </c>
      <c r="P48" s="28" t="s">
        <v>227</v>
      </c>
    </row>
    <row r="49" spans="2:16" ht="15" thickBot="1">
      <c r="B49" s="9" t="s">
        <v>112</v>
      </c>
      <c r="C49" s="18" t="s">
        <v>151</v>
      </c>
      <c r="D49" s="19">
        <v>0</v>
      </c>
      <c r="E49" s="19">
        <v>0</v>
      </c>
      <c r="F49" s="27">
        <f t="shared" si="5"/>
        <v>0</v>
      </c>
      <c r="G49" s="28" t="s">
        <v>227</v>
      </c>
      <c r="H49" s="19">
        <v>0</v>
      </c>
      <c r="I49" s="27">
        <f t="shared" si="8"/>
        <v>0</v>
      </c>
      <c r="J49" s="28" t="s">
        <v>227</v>
      </c>
      <c r="K49" s="19">
        <v>0</v>
      </c>
      <c r="L49" s="27">
        <f t="shared" si="36"/>
        <v>0</v>
      </c>
      <c r="M49" s="28" t="s">
        <v>227</v>
      </c>
      <c r="N49" s="19">
        <v>0</v>
      </c>
      <c r="O49" s="27">
        <f t="shared" si="41"/>
        <v>0</v>
      </c>
      <c r="P49" s="28" t="s">
        <v>227</v>
      </c>
    </row>
    <row r="50" spans="2:16" ht="15" thickBot="1">
      <c r="B50" s="9" t="s">
        <v>114</v>
      </c>
      <c r="C50" s="18" t="s">
        <v>152</v>
      </c>
      <c r="D50" s="19">
        <v>0</v>
      </c>
      <c r="E50" s="19">
        <v>0</v>
      </c>
      <c r="F50" s="27">
        <f t="shared" si="5"/>
        <v>0</v>
      </c>
      <c r="G50" s="28" t="s">
        <v>227</v>
      </c>
      <c r="H50" s="19">
        <v>0</v>
      </c>
      <c r="I50" s="27">
        <f t="shared" si="8"/>
        <v>0</v>
      </c>
      <c r="J50" s="28" t="s">
        <v>227</v>
      </c>
      <c r="K50" s="19">
        <v>0</v>
      </c>
      <c r="L50" s="27">
        <f t="shared" si="36"/>
        <v>0</v>
      </c>
      <c r="M50" s="28" t="s">
        <v>227</v>
      </c>
      <c r="N50" s="19">
        <v>0</v>
      </c>
      <c r="O50" s="27">
        <f t="shared" si="41"/>
        <v>0</v>
      </c>
      <c r="P50" s="28" t="s">
        <v>227</v>
      </c>
    </row>
    <row r="51" spans="2:16" ht="15" thickBot="1">
      <c r="B51" s="9" t="s">
        <v>116</v>
      </c>
      <c r="C51" s="18" t="s">
        <v>153</v>
      </c>
      <c r="D51" s="19">
        <v>0</v>
      </c>
      <c r="E51" s="19">
        <v>0</v>
      </c>
      <c r="F51" s="27">
        <f t="shared" si="5"/>
        <v>0</v>
      </c>
      <c r="G51" s="28" t="s">
        <v>227</v>
      </c>
      <c r="H51" s="19">
        <v>0</v>
      </c>
      <c r="I51" s="27">
        <f t="shared" si="8"/>
        <v>0</v>
      </c>
      <c r="J51" s="28" t="s">
        <v>227</v>
      </c>
      <c r="K51" s="19">
        <v>0</v>
      </c>
      <c r="L51" s="27">
        <f t="shared" si="36"/>
        <v>0</v>
      </c>
      <c r="M51" s="28" t="s">
        <v>227</v>
      </c>
      <c r="N51" s="19">
        <v>0</v>
      </c>
      <c r="O51" s="27">
        <f t="shared" si="41"/>
        <v>0</v>
      </c>
      <c r="P51" s="28" t="s">
        <v>227</v>
      </c>
    </row>
    <row r="52" spans="2:16" ht="15" thickBot="1">
      <c r="B52" s="9" t="s">
        <v>31</v>
      </c>
      <c r="C52" s="24" t="s">
        <v>154</v>
      </c>
      <c r="D52" s="23">
        <f>SUM(D53:D61)</f>
        <v>26149</v>
      </c>
      <c r="E52" s="23">
        <f t="shared" ref="E52" si="42">SUM(E53:E61)</f>
        <v>29396</v>
      </c>
      <c r="F52" s="27">
        <f t="shared" si="5"/>
        <v>3247</v>
      </c>
      <c r="G52" s="28">
        <f t="shared" si="6"/>
        <v>12.417300852805079</v>
      </c>
      <c r="H52" s="23">
        <f t="shared" ref="H52" si="43">SUM(H53:H61)</f>
        <v>37374</v>
      </c>
      <c r="I52" s="27">
        <f t="shared" si="8"/>
        <v>7978</v>
      </c>
      <c r="J52" s="28">
        <f t="shared" si="9"/>
        <v>27.139746904340729</v>
      </c>
      <c r="K52" s="23">
        <f t="shared" ref="K52" si="44">SUM(K53:K61)</f>
        <v>43095</v>
      </c>
      <c r="L52" s="27">
        <f t="shared" si="36"/>
        <v>5721</v>
      </c>
      <c r="M52" s="28">
        <f t="shared" si="12"/>
        <v>15.307432974795313</v>
      </c>
      <c r="N52" s="23">
        <f t="shared" ref="N52" si="45">SUM(N53:N61)</f>
        <v>46209</v>
      </c>
      <c r="O52" s="27">
        <f t="shared" si="41"/>
        <v>3114</v>
      </c>
      <c r="P52" s="29">
        <f t="shared" si="15"/>
        <v>7.2258962756700313</v>
      </c>
    </row>
    <row r="53" spans="2:16" ht="15" thickBot="1">
      <c r="B53" s="9" t="s">
        <v>9</v>
      </c>
      <c r="C53" s="18" t="s">
        <v>146</v>
      </c>
      <c r="D53" s="22">
        <v>23145</v>
      </c>
      <c r="E53" s="19">
        <v>27262</v>
      </c>
      <c r="F53" s="27">
        <f t="shared" si="5"/>
        <v>4117</v>
      </c>
      <c r="G53" s="28">
        <f t="shared" si="6"/>
        <v>17.787859148844241</v>
      </c>
      <c r="H53" s="22">
        <v>34148</v>
      </c>
      <c r="I53" s="27">
        <f t="shared" si="8"/>
        <v>6886</v>
      </c>
      <c r="J53" s="28">
        <f t="shared" si="9"/>
        <v>25.258601716675226</v>
      </c>
      <c r="K53" s="22">
        <v>39925</v>
      </c>
      <c r="L53" s="27">
        <f t="shared" si="36"/>
        <v>5777</v>
      </c>
      <c r="M53" s="28">
        <f t="shared" si="12"/>
        <v>16.917535433993205</v>
      </c>
      <c r="N53" s="22">
        <v>41013</v>
      </c>
      <c r="O53" s="27">
        <f t="shared" si="41"/>
        <v>1088</v>
      </c>
      <c r="P53" s="29">
        <f t="shared" si="15"/>
        <v>2.7251095804633687</v>
      </c>
    </row>
    <row r="54" spans="2:16" ht="15" thickBot="1">
      <c r="B54" s="9" t="s">
        <v>11</v>
      </c>
      <c r="C54" s="18" t="s">
        <v>147</v>
      </c>
      <c r="D54" s="19">
        <v>0</v>
      </c>
      <c r="E54" s="19">
        <v>0</v>
      </c>
      <c r="F54" s="27">
        <f t="shared" si="5"/>
        <v>0</v>
      </c>
      <c r="G54" s="28" t="s">
        <v>227</v>
      </c>
      <c r="H54" s="19">
        <v>0</v>
      </c>
      <c r="I54" s="27">
        <f t="shared" si="8"/>
        <v>0</v>
      </c>
      <c r="J54" s="28" t="s">
        <v>227</v>
      </c>
      <c r="K54" s="19">
        <v>0</v>
      </c>
      <c r="L54" s="27">
        <f t="shared" si="36"/>
        <v>0</v>
      </c>
      <c r="M54" s="28" t="s">
        <v>227</v>
      </c>
      <c r="N54" s="19">
        <v>0</v>
      </c>
      <c r="O54" s="27">
        <f t="shared" si="41"/>
        <v>0</v>
      </c>
      <c r="P54" s="28" t="s">
        <v>227</v>
      </c>
    </row>
    <row r="55" spans="2:16" ht="15" thickBot="1">
      <c r="B55" s="9" t="s">
        <v>13</v>
      </c>
      <c r="C55" s="18" t="s">
        <v>148</v>
      </c>
      <c r="D55" s="19">
        <v>0</v>
      </c>
      <c r="E55" s="19">
        <v>0</v>
      </c>
      <c r="F55" s="27">
        <f t="shared" si="5"/>
        <v>0</v>
      </c>
      <c r="G55" s="28" t="s">
        <v>227</v>
      </c>
      <c r="H55" s="19">
        <v>0</v>
      </c>
      <c r="I55" s="27">
        <f t="shared" si="8"/>
        <v>0</v>
      </c>
      <c r="J55" s="28" t="s">
        <v>227</v>
      </c>
      <c r="K55" s="19">
        <v>0</v>
      </c>
      <c r="L55" s="27">
        <f t="shared" si="36"/>
        <v>0</v>
      </c>
      <c r="M55" s="28" t="s">
        <v>227</v>
      </c>
      <c r="N55" s="19">
        <v>0</v>
      </c>
      <c r="O55" s="27">
        <f>N55-K55</f>
        <v>0</v>
      </c>
      <c r="P55" s="28" t="s">
        <v>227</v>
      </c>
    </row>
    <row r="56" spans="2:16" ht="15" thickBot="1">
      <c r="B56" s="9" t="s">
        <v>25</v>
      </c>
      <c r="C56" s="18" t="s">
        <v>149</v>
      </c>
      <c r="D56" s="19">
        <v>0</v>
      </c>
      <c r="E56" s="19">
        <v>0</v>
      </c>
      <c r="F56" s="27">
        <f t="shared" si="5"/>
        <v>0</v>
      </c>
      <c r="G56" s="28" t="s">
        <v>227</v>
      </c>
      <c r="H56" s="19">
        <v>0</v>
      </c>
      <c r="I56" s="27">
        <f t="shared" si="8"/>
        <v>0</v>
      </c>
      <c r="J56" s="28" t="s">
        <v>227</v>
      </c>
      <c r="K56" s="19">
        <v>0</v>
      </c>
      <c r="L56" s="27">
        <f>K56-H56</f>
        <v>0</v>
      </c>
      <c r="M56" s="28" t="s">
        <v>227</v>
      </c>
      <c r="N56" s="19">
        <v>0</v>
      </c>
      <c r="O56" s="27">
        <f t="shared" ref="O56:O70" si="46">N56-K56</f>
        <v>0</v>
      </c>
      <c r="P56" s="28" t="s">
        <v>227</v>
      </c>
    </row>
    <row r="57" spans="2:16" ht="15" thickBot="1">
      <c r="B57" s="9" t="s">
        <v>110</v>
      </c>
      <c r="C57" s="18" t="s">
        <v>155</v>
      </c>
      <c r="D57" s="19">
        <v>0</v>
      </c>
      <c r="E57" s="19">
        <v>0</v>
      </c>
      <c r="F57" s="27">
        <f t="shared" si="5"/>
        <v>0</v>
      </c>
      <c r="G57" s="28" t="s">
        <v>227</v>
      </c>
      <c r="H57" s="19">
        <v>0</v>
      </c>
      <c r="I57" s="27">
        <f t="shared" si="8"/>
        <v>0</v>
      </c>
      <c r="J57" s="28" t="s">
        <v>227</v>
      </c>
      <c r="K57" s="19">
        <v>0</v>
      </c>
      <c r="L57" s="27">
        <f t="shared" ref="L57:L70" si="47">K57-H57</f>
        <v>0</v>
      </c>
      <c r="M57" s="28" t="s">
        <v>227</v>
      </c>
      <c r="N57" s="19">
        <v>0</v>
      </c>
      <c r="O57" s="27">
        <f t="shared" si="46"/>
        <v>0</v>
      </c>
      <c r="P57" s="28" t="s">
        <v>227</v>
      </c>
    </row>
    <row r="58" spans="2:16" ht="15" thickBot="1">
      <c r="B58" s="9" t="s">
        <v>112</v>
      </c>
      <c r="C58" s="18" t="s">
        <v>156</v>
      </c>
      <c r="D58" s="19">
        <v>273</v>
      </c>
      <c r="E58" s="19">
        <v>826</v>
      </c>
      <c r="F58" s="27">
        <f t="shared" si="5"/>
        <v>553</v>
      </c>
      <c r="G58" s="28">
        <f t="shared" si="6"/>
        <v>202.56410256410254</v>
      </c>
      <c r="H58" s="19">
        <v>1623</v>
      </c>
      <c r="I58" s="27">
        <f t="shared" si="8"/>
        <v>797</v>
      </c>
      <c r="J58" s="28">
        <f t="shared" si="9"/>
        <v>96.489104116222762</v>
      </c>
      <c r="K58" s="19">
        <v>248</v>
      </c>
      <c r="L58" s="27">
        <f t="shared" si="47"/>
        <v>-1375</v>
      </c>
      <c r="M58" s="28">
        <f>(K58-H58)/ABS(H58)*100</f>
        <v>-84.719654959950702</v>
      </c>
      <c r="N58" s="19">
        <v>1725</v>
      </c>
      <c r="O58" s="27">
        <f t="shared" si="46"/>
        <v>1477</v>
      </c>
      <c r="P58" s="29">
        <f t="shared" si="15"/>
        <v>595.56451612903231</v>
      </c>
    </row>
    <row r="59" spans="2:16" ht="15" thickBot="1">
      <c r="B59" s="9" t="s">
        <v>114</v>
      </c>
      <c r="C59" s="18" t="s">
        <v>157</v>
      </c>
      <c r="D59" s="19">
        <v>693</v>
      </c>
      <c r="E59" s="19">
        <v>328</v>
      </c>
      <c r="F59" s="27">
        <f t="shared" si="5"/>
        <v>-365</v>
      </c>
      <c r="G59" s="28">
        <f t="shared" si="6"/>
        <v>-52.669552669552665</v>
      </c>
      <c r="H59" s="19">
        <v>745</v>
      </c>
      <c r="I59" s="27">
        <f t="shared" si="8"/>
        <v>417</v>
      </c>
      <c r="J59" s="28">
        <f t="shared" si="9"/>
        <v>127.13414634146341</v>
      </c>
      <c r="K59" s="19">
        <v>1926</v>
      </c>
      <c r="L59" s="27">
        <f t="shared" si="47"/>
        <v>1181</v>
      </c>
      <c r="M59" s="28">
        <f t="shared" si="12"/>
        <v>158.52348993288589</v>
      </c>
      <c r="N59" s="19">
        <v>2455</v>
      </c>
      <c r="O59" s="27">
        <f t="shared" si="46"/>
        <v>529</v>
      </c>
      <c r="P59" s="29">
        <f t="shared" si="15"/>
        <v>27.466251298027</v>
      </c>
    </row>
    <row r="60" spans="2:16" ht="15" thickBot="1">
      <c r="B60" s="9" t="s">
        <v>116</v>
      </c>
      <c r="C60" s="18" t="s">
        <v>151</v>
      </c>
      <c r="D60" s="19">
        <v>1325</v>
      </c>
      <c r="E60" s="19">
        <v>485</v>
      </c>
      <c r="F60" s="27">
        <f t="shared" si="5"/>
        <v>-840</v>
      </c>
      <c r="G60" s="28">
        <f t="shared" si="6"/>
        <v>-63.39622641509434</v>
      </c>
      <c r="H60" s="19">
        <v>322</v>
      </c>
      <c r="I60" s="27">
        <f t="shared" si="8"/>
        <v>-163</v>
      </c>
      <c r="J60" s="28">
        <f t="shared" si="9"/>
        <v>-33.608247422680414</v>
      </c>
      <c r="K60" s="19">
        <v>268</v>
      </c>
      <c r="L60" s="27">
        <f t="shared" si="47"/>
        <v>-54</v>
      </c>
      <c r="M60" s="28">
        <f t="shared" si="12"/>
        <v>-16.770186335403729</v>
      </c>
      <c r="N60" s="19">
        <v>453</v>
      </c>
      <c r="O60" s="27">
        <f t="shared" si="46"/>
        <v>185</v>
      </c>
      <c r="P60" s="29">
        <f t="shared" si="15"/>
        <v>69.029850746268664</v>
      </c>
    </row>
    <row r="61" spans="2:16" ht="15" thickBot="1">
      <c r="B61" s="9" t="s">
        <v>127</v>
      </c>
      <c r="C61" s="18" t="s">
        <v>152</v>
      </c>
      <c r="D61" s="19">
        <v>713</v>
      </c>
      <c r="E61" s="19">
        <v>495</v>
      </c>
      <c r="F61" s="27">
        <f t="shared" si="5"/>
        <v>-218</v>
      </c>
      <c r="G61" s="28">
        <f t="shared" si="6"/>
        <v>-30.575035063113603</v>
      </c>
      <c r="H61" s="19">
        <v>536</v>
      </c>
      <c r="I61" s="27">
        <f t="shared" si="8"/>
        <v>41</v>
      </c>
      <c r="J61" s="28">
        <f t="shared" si="9"/>
        <v>8.2828282828282838</v>
      </c>
      <c r="K61" s="19">
        <v>728</v>
      </c>
      <c r="L61" s="27">
        <f t="shared" si="47"/>
        <v>192</v>
      </c>
      <c r="M61" s="28">
        <f t="shared" si="12"/>
        <v>35.820895522388057</v>
      </c>
      <c r="N61" s="19">
        <v>563</v>
      </c>
      <c r="O61" s="27">
        <f t="shared" si="46"/>
        <v>-165</v>
      </c>
      <c r="P61" s="29">
        <f t="shared" si="15"/>
        <v>-22.664835164835164</v>
      </c>
    </row>
    <row r="62" spans="2:16" ht="15" thickBot="1">
      <c r="B62" s="9" t="s">
        <v>41</v>
      </c>
      <c r="C62" s="24" t="s">
        <v>158</v>
      </c>
      <c r="D62" s="20">
        <f>SUM(D63:D66)</f>
        <v>18498</v>
      </c>
      <c r="E62" s="20">
        <f t="shared" ref="E62" si="48">SUM(E63:E66)</f>
        <v>18661</v>
      </c>
      <c r="F62" s="27">
        <f t="shared" si="5"/>
        <v>163</v>
      </c>
      <c r="G62" s="28">
        <f t="shared" si="6"/>
        <v>0.88117634338847439</v>
      </c>
      <c r="H62" s="20">
        <f t="shared" ref="H62" si="49">SUM(H63:H66)</f>
        <v>14966</v>
      </c>
      <c r="I62" s="27">
        <f t="shared" si="8"/>
        <v>-3695</v>
      </c>
      <c r="J62" s="28">
        <f t="shared" si="9"/>
        <v>-19.800653769894431</v>
      </c>
      <c r="K62" s="20">
        <f t="shared" ref="K62" si="50">SUM(K63:K66)</f>
        <v>14269</v>
      </c>
      <c r="L62" s="27">
        <f t="shared" si="47"/>
        <v>-697</v>
      </c>
      <c r="M62" s="28">
        <f t="shared" si="12"/>
        <v>-4.657223038888147</v>
      </c>
      <c r="N62" s="20">
        <f t="shared" ref="N62" si="51">SUM(N63:N66)</f>
        <v>19119</v>
      </c>
      <c r="O62" s="27">
        <f t="shared" si="46"/>
        <v>4850</v>
      </c>
      <c r="P62" s="29">
        <f t="shared" si="15"/>
        <v>33.989768028593453</v>
      </c>
    </row>
    <row r="63" spans="2:16" ht="15" thickBot="1">
      <c r="B63" s="9" t="s">
        <v>9</v>
      </c>
      <c r="C63" s="18" t="s">
        <v>159</v>
      </c>
      <c r="D63" s="19">
        <v>935</v>
      </c>
      <c r="E63" s="19">
        <v>726</v>
      </c>
      <c r="F63" s="27">
        <f t="shared" si="5"/>
        <v>-209</v>
      </c>
      <c r="G63" s="28">
        <f t="shared" si="6"/>
        <v>-22.352941176470591</v>
      </c>
      <c r="H63" s="19">
        <v>713</v>
      </c>
      <c r="I63" s="27">
        <f t="shared" si="8"/>
        <v>-13</v>
      </c>
      <c r="J63" s="28">
        <f t="shared" si="9"/>
        <v>-1.7906336088154271</v>
      </c>
      <c r="K63" s="19">
        <v>784</v>
      </c>
      <c r="L63" s="27">
        <f t="shared" si="47"/>
        <v>71</v>
      </c>
      <c r="M63" s="28">
        <f t="shared" si="12"/>
        <v>9.9579242636746148</v>
      </c>
      <c r="N63" s="19">
        <v>1121</v>
      </c>
      <c r="O63" s="27">
        <f t="shared" si="46"/>
        <v>337</v>
      </c>
      <c r="P63" s="29">
        <f t="shared" si="15"/>
        <v>42.984693877551024</v>
      </c>
    </row>
    <row r="64" spans="2:16" ht="15" thickBot="1">
      <c r="B64" s="9" t="s">
        <v>11</v>
      </c>
      <c r="C64" s="18" t="s">
        <v>160</v>
      </c>
      <c r="D64" s="19">
        <v>17563</v>
      </c>
      <c r="E64" s="19">
        <v>17935</v>
      </c>
      <c r="F64" s="27">
        <f t="shared" si="5"/>
        <v>372</v>
      </c>
      <c r="G64" s="28">
        <f t="shared" si="6"/>
        <v>2.1180891647212889</v>
      </c>
      <c r="H64" s="19">
        <v>14253</v>
      </c>
      <c r="I64" s="27">
        <f t="shared" si="8"/>
        <v>-3682</v>
      </c>
      <c r="J64" s="28">
        <f t="shared" si="9"/>
        <v>-20.529690549205466</v>
      </c>
      <c r="K64" s="19">
        <v>13485</v>
      </c>
      <c r="L64" s="27">
        <f t="shared" si="47"/>
        <v>-768</v>
      </c>
      <c r="M64" s="28">
        <f t="shared" si="12"/>
        <v>-5.3883392969901074</v>
      </c>
      <c r="N64" s="19">
        <v>17998</v>
      </c>
      <c r="O64" s="27">
        <f t="shared" si="46"/>
        <v>4513</v>
      </c>
      <c r="P64" s="29">
        <f t="shared" si="15"/>
        <v>33.466814979606966</v>
      </c>
    </row>
    <row r="65" spans="2:16" ht="15" thickBot="1">
      <c r="B65" s="9" t="s">
        <v>13</v>
      </c>
      <c r="C65" s="18" t="s">
        <v>161</v>
      </c>
      <c r="D65" s="19">
        <v>0</v>
      </c>
      <c r="E65" s="19">
        <v>0</v>
      </c>
      <c r="F65" s="27">
        <f t="shared" si="5"/>
        <v>0</v>
      </c>
      <c r="G65" s="28" t="s">
        <v>227</v>
      </c>
      <c r="H65" s="19">
        <v>0</v>
      </c>
      <c r="I65" s="27">
        <f t="shared" si="8"/>
        <v>0</v>
      </c>
      <c r="J65" s="28" t="s">
        <v>227</v>
      </c>
      <c r="K65" s="19">
        <v>0</v>
      </c>
      <c r="L65" s="27">
        <f t="shared" si="47"/>
        <v>0</v>
      </c>
      <c r="M65" s="28" t="s">
        <v>227</v>
      </c>
      <c r="N65" s="19">
        <v>0</v>
      </c>
      <c r="O65" s="27">
        <f t="shared" si="46"/>
        <v>0</v>
      </c>
      <c r="P65" s="28" t="s">
        <v>227</v>
      </c>
    </row>
    <row r="66" spans="2:16" ht="15" thickBot="1">
      <c r="B66" s="9" t="s">
        <v>25</v>
      </c>
      <c r="C66" s="18" t="s">
        <v>162</v>
      </c>
      <c r="D66" s="19">
        <v>0</v>
      </c>
      <c r="E66" s="19">
        <v>0</v>
      </c>
      <c r="F66" s="27">
        <f t="shared" si="5"/>
        <v>0</v>
      </c>
      <c r="G66" s="28" t="s">
        <v>227</v>
      </c>
      <c r="H66" s="19">
        <v>0</v>
      </c>
      <c r="I66" s="27">
        <f t="shared" si="8"/>
        <v>0</v>
      </c>
      <c r="J66" s="28" t="s">
        <v>227</v>
      </c>
      <c r="K66" s="19">
        <v>0</v>
      </c>
      <c r="L66" s="27">
        <f t="shared" si="47"/>
        <v>0</v>
      </c>
      <c r="M66" s="28" t="s">
        <v>227</v>
      </c>
      <c r="N66" s="19">
        <v>0</v>
      </c>
      <c r="O66" s="27">
        <f t="shared" si="46"/>
        <v>0</v>
      </c>
      <c r="P66" s="28" t="s">
        <v>227</v>
      </c>
    </row>
    <row r="67" spans="2:16" ht="15" thickBot="1">
      <c r="B67" s="172" t="s">
        <v>163</v>
      </c>
      <c r="C67" s="21" t="s">
        <v>164</v>
      </c>
      <c r="D67" s="20">
        <f>SUM(D68:D70)</f>
        <v>4090</v>
      </c>
      <c r="E67" s="20">
        <f t="shared" ref="E67" si="52">SUM(E68:E70)</f>
        <v>5256</v>
      </c>
      <c r="F67" s="27">
        <f t="shared" si="5"/>
        <v>1166</v>
      </c>
      <c r="G67" s="28">
        <f t="shared" si="6"/>
        <v>28.508557457212714</v>
      </c>
      <c r="H67" s="20">
        <f t="shared" ref="H67" si="53">SUM(H68:H70)</f>
        <v>6229</v>
      </c>
      <c r="I67" s="27">
        <f t="shared" si="8"/>
        <v>973</v>
      </c>
      <c r="J67" s="28">
        <f t="shared" si="9"/>
        <v>18.512176560121766</v>
      </c>
      <c r="K67" s="20">
        <f t="shared" ref="K67" si="54">SUM(K68:K70)</f>
        <v>7447</v>
      </c>
      <c r="L67" s="27">
        <f t="shared" si="47"/>
        <v>1218</v>
      </c>
      <c r="M67" s="28">
        <f t="shared" si="12"/>
        <v>19.553700433456413</v>
      </c>
      <c r="N67" s="20">
        <f t="shared" ref="N67" si="55">SUM(N68:N70)</f>
        <v>9266</v>
      </c>
      <c r="O67" s="27">
        <f t="shared" si="46"/>
        <v>1819</v>
      </c>
      <c r="P67" s="29">
        <f t="shared" si="15"/>
        <v>24.425943332885723</v>
      </c>
    </row>
    <row r="68" spans="2:16" ht="15" thickBot="1">
      <c r="B68" s="9" t="s">
        <v>9</v>
      </c>
      <c r="C68" s="18" t="s">
        <v>165</v>
      </c>
      <c r="D68" s="19">
        <v>3845</v>
      </c>
      <c r="E68" s="19">
        <v>4628</v>
      </c>
      <c r="F68" s="27">
        <f t="shared" si="5"/>
        <v>783</v>
      </c>
      <c r="G68" s="28">
        <f t="shared" si="6"/>
        <v>20.364109232769831</v>
      </c>
      <c r="H68" s="19">
        <v>5435</v>
      </c>
      <c r="I68" s="27">
        <f t="shared" si="8"/>
        <v>807</v>
      </c>
      <c r="J68" s="28">
        <f t="shared" si="9"/>
        <v>17.437337942955921</v>
      </c>
      <c r="K68" s="19">
        <v>6234</v>
      </c>
      <c r="L68" s="27">
        <f t="shared" si="47"/>
        <v>799</v>
      </c>
      <c r="M68" s="28">
        <f t="shared" si="12"/>
        <v>14.701011959521621</v>
      </c>
      <c r="N68" s="19">
        <v>8421</v>
      </c>
      <c r="O68" s="27">
        <f t="shared" si="46"/>
        <v>2187</v>
      </c>
      <c r="P68" s="29">
        <f t="shared" si="15"/>
        <v>35.081809432146294</v>
      </c>
    </row>
    <row r="69" spans="2:16" ht="15" thickBot="1">
      <c r="B69" s="9" t="s">
        <v>11</v>
      </c>
      <c r="C69" s="18" t="s">
        <v>166</v>
      </c>
      <c r="D69" s="19">
        <v>0</v>
      </c>
      <c r="E69" s="19">
        <v>0</v>
      </c>
      <c r="F69" s="27">
        <f t="shared" si="5"/>
        <v>0</v>
      </c>
      <c r="G69" s="28" t="s">
        <v>227</v>
      </c>
      <c r="H69" s="19">
        <v>0</v>
      </c>
      <c r="I69" s="27">
        <f t="shared" si="8"/>
        <v>0</v>
      </c>
      <c r="J69" s="28" t="s">
        <v>227</v>
      </c>
      <c r="K69" s="19">
        <v>0</v>
      </c>
      <c r="L69" s="27">
        <f t="shared" si="47"/>
        <v>0</v>
      </c>
      <c r="M69" s="28" t="s">
        <v>227</v>
      </c>
      <c r="N69" s="19">
        <v>0</v>
      </c>
      <c r="O69" s="27">
        <f t="shared" si="46"/>
        <v>0</v>
      </c>
      <c r="P69" s="28" t="s">
        <v>227</v>
      </c>
    </row>
    <row r="70" spans="2:16" ht="15" thickBot="1">
      <c r="B70" s="37" t="s">
        <v>13</v>
      </c>
      <c r="C70" s="173" t="s">
        <v>167</v>
      </c>
      <c r="D70" s="19">
        <v>245</v>
      </c>
      <c r="E70" s="19">
        <v>628</v>
      </c>
      <c r="F70" s="38">
        <f t="shared" si="5"/>
        <v>383</v>
      </c>
      <c r="G70" s="28">
        <f t="shared" ref="G70" si="56">(E70-D70)/ABS(D70)*100</f>
        <v>156.32653061224491</v>
      </c>
      <c r="H70" s="19">
        <v>794</v>
      </c>
      <c r="I70" s="38">
        <f t="shared" si="8"/>
        <v>166</v>
      </c>
      <c r="J70" s="28">
        <f t="shared" ref="J70" si="57">(H70-E70)/ABS(E70)*100</f>
        <v>26.433121019108281</v>
      </c>
      <c r="K70" s="19">
        <v>1213</v>
      </c>
      <c r="L70" s="38">
        <f t="shared" si="47"/>
        <v>419</v>
      </c>
      <c r="M70" s="28">
        <f t="shared" ref="M70" si="58">(K70-H70)/ABS(H70)*100</f>
        <v>52.770780856423173</v>
      </c>
      <c r="N70" s="19">
        <v>845</v>
      </c>
      <c r="O70" s="38">
        <f t="shared" si="46"/>
        <v>-368</v>
      </c>
      <c r="P70" s="29">
        <f t="shared" ref="P70" si="59">(N70-K70)/ABS(K70)*100</f>
        <v>-30.33800494641385</v>
      </c>
    </row>
    <row r="71" spans="2:16" s="32" customFormat="1">
      <c r="B71" s="31"/>
      <c r="D71" s="33"/>
      <c r="E71" s="33"/>
      <c r="F71" s="34"/>
      <c r="G71" s="35"/>
      <c r="H71" s="33"/>
      <c r="I71" s="34"/>
      <c r="J71" s="35"/>
      <c r="K71" s="33"/>
      <c r="L71" s="34"/>
      <c r="M71" s="35"/>
      <c r="N71" s="33"/>
      <c r="O71" s="34"/>
      <c r="P71" s="36"/>
    </row>
    <row r="72" spans="2:16" s="32" customFormat="1" ht="15" thickBot="1">
      <c r="B72" s="31"/>
      <c r="D72" s="33"/>
      <c r="E72" s="33"/>
      <c r="F72" s="34"/>
      <c r="G72" s="35"/>
      <c r="H72" s="33"/>
      <c r="I72" s="34"/>
      <c r="J72" s="35"/>
      <c r="K72" s="33"/>
      <c r="L72" s="34"/>
      <c r="M72" s="35"/>
      <c r="N72" s="33"/>
      <c r="O72" s="34"/>
      <c r="P72" s="36"/>
    </row>
    <row r="73" spans="2:16" s="32" customFormat="1" ht="15" thickBot="1">
      <c r="B73" s="324" t="s">
        <v>0</v>
      </c>
      <c r="C73" s="324" t="s">
        <v>168</v>
      </c>
      <c r="D73" s="324">
        <v>2002</v>
      </c>
      <c r="E73" s="324">
        <v>2003</v>
      </c>
      <c r="F73" s="326" t="s">
        <v>223</v>
      </c>
      <c r="G73" s="327"/>
      <c r="H73" s="324">
        <v>2004</v>
      </c>
      <c r="I73" s="326" t="s">
        <v>220</v>
      </c>
      <c r="J73" s="327"/>
      <c r="K73" s="324">
        <v>2005</v>
      </c>
      <c r="L73" s="326" t="s">
        <v>224</v>
      </c>
      <c r="M73" s="327"/>
      <c r="N73" s="324">
        <v>2006</v>
      </c>
      <c r="O73" s="326" t="s">
        <v>225</v>
      </c>
      <c r="P73" s="327"/>
    </row>
    <row r="74" spans="2:16" s="32" customFormat="1" ht="15" thickBot="1">
      <c r="B74" s="325"/>
      <c r="C74" s="325"/>
      <c r="D74" s="325"/>
      <c r="E74" s="325"/>
      <c r="F74" s="26" t="s">
        <v>221</v>
      </c>
      <c r="G74" s="26" t="s">
        <v>222</v>
      </c>
      <c r="H74" s="325"/>
      <c r="I74" s="26" t="s">
        <v>221</v>
      </c>
      <c r="J74" s="26" t="s">
        <v>222</v>
      </c>
      <c r="K74" s="325"/>
      <c r="L74" s="26" t="s">
        <v>221</v>
      </c>
      <c r="M74" s="26" t="s">
        <v>222</v>
      </c>
      <c r="N74" s="325"/>
      <c r="O74" s="26" t="s">
        <v>221</v>
      </c>
      <c r="P74" s="26" t="s">
        <v>222</v>
      </c>
    </row>
    <row r="75" spans="2:16" ht="15" thickBot="1">
      <c r="B75" s="4"/>
      <c r="C75" s="21" t="s">
        <v>169</v>
      </c>
      <c r="D75" s="23">
        <f>D76+D93+D126</f>
        <v>152051.39500000002</v>
      </c>
      <c r="E75" s="23">
        <f t="shared" ref="E75" si="60">E76+E93+E126</f>
        <v>193206.505</v>
      </c>
      <c r="F75" s="27">
        <f t="shared" ref="F75:F128" si="61">E75-D75</f>
        <v>41155.109999999986</v>
      </c>
      <c r="G75" s="28">
        <f t="shared" ref="G75:G128" si="62">(E75-D75)/ABS(D75)*100</f>
        <v>27.066578376344381</v>
      </c>
      <c r="H75" s="23">
        <f t="shared" ref="H75" si="63">H76+H93+H126</f>
        <v>211869.85700000002</v>
      </c>
      <c r="I75" s="27">
        <f t="shared" ref="I75:I128" si="64">H75-E75</f>
        <v>18663.352000000014</v>
      </c>
      <c r="J75" s="28">
        <f>(H75-E75)/ABS(E75)*100</f>
        <v>9.6597948397234408</v>
      </c>
      <c r="K75" s="23">
        <f t="shared" ref="K75" si="65">K76+K93+K126</f>
        <v>220504.83600000001</v>
      </c>
      <c r="L75" s="27">
        <f t="shared" ref="L75:L128" si="66">K75-H75</f>
        <v>8634.9789999999921</v>
      </c>
      <c r="M75" s="28">
        <f t="shared" ref="M75:M128" si="67">(K75-H75)/ABS(H75)*100</f>
        <v>4.0756052428920979</v>
      </c>
      <c r="N75" s="23">
        <f t="shared" ref="N75" si="68">N76+N93+N126</f>
        <v>241979.72500000001</v>
      </c>
      <c r="O75" s="27">
        <f t="shared" ref="O75:O88" si="69">N75-K75</f>
        <v>21474.888999999996</v>
      </c>
      <c r="P75" s="29">
        <f t="shared" ref="P75:P127" si="70">(N75-K75)/ABS(K75)*100</f>
        <v>9.7389650900899039</v>
      </c>
    </row>
    <row r="76" spans="2:16" ht="15" thickBot="1">
      <c r="B76" s="172" t="s">
        <v>3</v>
      </c>
      <c r="C76" s="21" t="s">
        <v>170</v>
      </c>
      <c r="D76" s="23">
        <f>D77+D81+D86+D89+D92</f>
        <v>95258.395000000004</v>
      </c>
      <c r="E76" s="23">
        <f t="shared" ref="E76" si="71">E77+E81+E86+E89+E92</f>
        <v>119053.505</v>
      </c>
      <c r="F76" s="27">
        <f t="shared" si="61"/>
        <v>23795.11</v>
      </c>
      <c r="G76" s="28">
        <f t="shared" si="62"/>
        <v>24.979541173247775</v>
      </c>
      <c r="H76" s="23">
        <f t="shared" ref="H76" si="72">H77+H81+H86+H89+H92</f>
        <v>134771.85700000002</v>
      </c>
      <c r="I76" s="27">
        <f t="shared" si="64"/>
        <v>15718.352000000014</v>
      </c>
      <c r="J76" s="28">
        <f t="shared" ref="J76:J128" si="73">(H76-E76)/ABS(E76)*100</f>
        <v>13.202762908996265</v>
      </c>
      <c r="K76" s="23">
        <f t="shared" ref="K76" si="74">K77+K81+K86+K89+K92</f>
        <v>154213.83600000001</v>
      </c>
      <c r="L76" s="27">
        <f t="shared" si="66"/>
        <v>19441.978999999992</v>
      </c>
      <c r="M76" s="28">
        <f t="shared" si="67"/>
        <v>14.425844855725323</v>
      </c>
      <c r="N76" s="23">
        <f t="shared" ref="N76" si="75">N77+N81+N86+N89+N92</f>
        <v>163022.72500000001</v>
      </c>
      <c r="O76" s="27">
        <f t="shared" si="69"/>
        <v>8808.8889999999956</v>
      </c>
      <c r="P76" s="29">
        <f t="shared" si="70"/>
        <v>5.7121262452741242</v>
      </c>
    </row>
    <row r="77" spans="2:16" ht="15" thickBot="1">
      <c r="B77" s="9" t="s">
        <v>1</v>
      </c>
      <c r="C77" s="24" t="s">
        <v>171</v>
      </c>
      <c r="D77" s="23">
        <f>SUM(D78:D80)</f>
        <v>12000</v>
      </c>
      <c r="E77" s="23">
        <f t="shared" ref="E77" si="76">SUM(E78:E80)</f>
        <v>12000</v>
      </c>
      <c r="F77" s="27">
        <f t="shared" si="61"/>
        <v>0</v>
      </c>
      <c r="G77" s="28">
        <f t="shared" si="62"/>
        <v>0</v>
      </c>
      <c r="H77" s="23">
        <f t="shared" ref="H77" si="77">SUM(H78:H80)</f>
        <v>12000</v>
      </c>
      <c r="I77" s="27">
        <f t="shared" si="64"/>
        <v>0</v>
      </c>
      <c r="J77" s="28">
        <f t="shared" si="73"/>
        <v>0</v>
      </c>
      <c r="K77" s="23">
        <f t="shared" ref="K77" si="78">SUM(K78:K80)</f>
        <v>12000</v>
      </c>
      <c r="L77" s="27">
        <f t="shared" si="66"/>
        <v>0</v>
      </c>
      <c r="M77" s="28">
        <f t="shared" si="67"/>
        <v>0</v>
      </c>
      <c r="N77" s="23">
        <f t="shared" ref="N77" si="79">SUM(N78:N80)</f>
        <v>12000</v>
      </c>
      <c r="O77" s="27">
        <f t="shared" si="69"/>
        <v>0</v>
      </c>
      <c r="P77" s="29">
        <f t="shared" si="70"/>
        <v>0</v>
      </c>
    </row>
    <row r="78" spans="2:16" ht="15" thickBot="1">
      <c r="B78" s="9" t="s">
        <v>9</v>
      </c>
      <c r="C78" s="18" t="s">
        <v>172</v>
      </c>
      <c r="D78" s="22">
        <v>12000</v>
      </c>
      <c r="E78" s="22">
        <v>12000</v>
      </c>
      <c r="F78" s="27">
        <f t="shared" si="61"/>
        <v>0</v>
      </c>
      <c r="G78" s="28">
        <f t="shared" si="62"/>
        <v>0</v>
      </c>
      <c r="H78" s="22">
        <v>12000</v>
      </c>
      <c r="I78" s="27">
        <f t="shared" si="64"/>
        <v>0</v>
      </c>
      <c r="J78" s="28">
        <f t="shared" si="73"/>
        <v>0</v>
      </c>
      <c r="K78" s="22">
        <v>12000</v>
      </c>
      <c r="L78" s="27">
        <f t="shared" si="66"/>
        <v>0</v>
      </c>
      <c r="M78" s="28">
        <f t="shared" si="67"/>
        <v>0</v>
      </c>
      <c r="N78" s="22">
        <v>12000</v>
      </c>
      <c r="O78" s="27">
        <f t="shared" si="69"/>
        <v>0</v>
      </c>
      <c r="P78" s="29">
        <f t="shared" si="70"/>
        <v>0</v>
      </c>
    </row>
    <row r="79" spans="2:16" ht="15" thickBot="1">
      <c r="B79" s="9" t="s">
        <v>11</v>
      </c>
      <c r="C79" s="18" t="s">
        <v>173</v>
      </c>
      <c r="D79" s="19">
        <v>0</v>
      </c>
      <c r="E79" s="19">
        <v>0</v>
      </c>
      <c r="F79" s="27">
        <f t="shared" si="61"/>
        <v>0</v>
      </c>
      <c r="G79" s="28" t="s">
        <v>227</v>
      </c>
      <c r="H79" s="19">
        <v>0</v>
      </c>
      <c r="I79" s="27">
        <f t="shared" si="64"/>
        <v>0</v>
      </c>
      <c r="J79" s="28" t="s">
        <v>227</v>
      </c>
      <c r="K79" s="19">
        <v>0</v>
      </c>
      <c r="L79" s="27">
        <f t="shared" si="66"/>
        <v>0</v>
      </c>
      <c r="M79" s="28" t="s">
        <v>227</v>
      </c>
      <c r="N79" s="19">
        <v>0</v>
      </c>
      <c r="O79" s="27">
        <f t="shared" si="69"/>
        <v>0</v>
      </c>
      <c r="P79" s="28" t="s">
        <v>227</v>
      </c>
    </row>
    <row r="80" spans="2:16" ht="15" thickBot="1">
      <c r="B80" s="9" t="s">
        <v>13</v>
      </c>
      <c r="C80" s="18" t="s">
        <v>174</v>
      </c>
      <c r="D80" s="19">
        <v>0</v>
      </c>
      <c r="E80" s="19">
        <v>0</v>
      </c>
      <c r="F80" s="27">
        <f t="shared" si="61"/>
        <v>0</v>
      </c>
      <c r="G80" s="28" t="s">
        <v>227</v>
      </c>
      <c r="H80" s="19">
        <v>0</v>
      </c>
      <c r="I80" s="27">
        <f t="shared" si="64"/>
        <v>0</v>
      </c>
      <c r="J80" s="28" t="s">
        <v>227</v>
      </c>
      <c r="K80" s="19">
        <v>0</v>
      </c>
      <c r="L80" s="27">
        <f t="shared" si="66"/>
        <v>0</v>
      </c>
      <c r="M80" s="28" t="s">
        <v>227</v>
      </c>
      <c r="N80" s="19">
        <v>0</v>
      </c>
      <c r="O80" s="27">
        <f t="shared" si="69"/>
        <v>0</v>
      </c>
      <c r="P80" s="28" t="s">
        <v>227</v>
      </c>
    </row>
    <row r="81" spans="2:16" ht="15" thickBot="1">
      <c r="B81" s="9" t="s">
        <v>7</v>
      </c>
      <c r="C81" s="24" t="s">
        <v>175</v>
      </c>
      <c r="D81" s="20">
        <f>SUM(D82:D85)</f>
        <v>0</v>
      </c>
      <c r="E81" s="20">
        <f t="shared" ref="E81" si="80">SUM(E82:E85)</f>
        <v>0</v>
      </c>
      <c r="F81" s="27">
        <f t="shared" si="61"/>
        <v>0</v>
      </c>
      <c r="G81" s="28" t="s">
        <v>227</v>
      </c>
      <c r="H81" s="20">
        <f t="shared" ref="H81" si="81">SUM(H82:H85)</f>
        <v>0</v>
      </c>
      <c r="I81" s="27">
        <f t="shared" si="64"/>
        <v>0</v>
      </c>
      <c r="J81" s="28" t="s">
        <v>227</v>
      </c>
      <c r="K81" s="20">
        <f t="shared" ref="K81" si="82">SUM(K82:K85)</f>
        <v>0</v>
      </c>
      <c r="L81" s="27">
        <f t="shared" si="66"/>
        <v>0</v>
      </c>
      <c r="M81" s="28" t="s">
        <v>227</v>
      </c>
      <c r="N81" s="20">
        <f t="shared" ref="N81" si="83">SUM(N82:N85)</f>
        <v>0</v>
      </c>
      <c r="O81" s="27">
        <f t="shared" si="69"/>
        <v>0</v>
      </c>
      <c r="P81" s="28" t="s">
        <v>227</v>
      </c>
    </row>
    <row r="82" spans="2:16" ht="15" thickBot="1">
      <c r="B82" s="9" t="s">
        <v>9</v>
      </c>
      <c r="C82" s="18" t="s">
        <v>176</v>
      </c>
      <c r="D82" s="19">
        <v>0</v>
      </c>
      <c r="E82" s="19">
        <v>0</v>
      </c>
      <c r="F82" s="27">
        <f t="shared" si="61"/>
        <v>0</v>
      </c>
      <c r="G82" s="28" t="s">
        <v>227</v>
      </c>
      <c r="H82" s="19">
        <v>0</v>
      </c>
      <c r="I82" s="27">
        <f t="shared" si="64"/>
        <v>0</v>
      </c>
      <c r="J82" s="28" t="s">
        <v>227</v>
      </c>
      <c r="K82" s="19">
        <v>0</v>
      </c>
      <c r="L82" s="27">
        <f t="shared" si="66"/>
        <v>0</v>
      </c>
      <c r="M82" s="28" t="s">
        <v>227</v>
      </c>
      <c r="N82" s="19">
        <v>0</v>
      </c>
      <c r="O82" s="27">
        <f t="shared" si="69"/>
        <v>0</v>
      </c>
      <c r="P82" s="28" t="s">
        <v>227</v>
      </c>
    </row>
    <row r="83" spans="2:16" ht="15" thickBot="1">
      <c r="B83" s="9" t="s">
        <v>11</v>
      </c>
      <c r="C83" s="18" t="s">
        <v>177</v>
      </c>
      <c r="D83" s="19">
        <v>0</v>
      </c>
      <c r="E83" s="19">
        <v>0</v>
      </c>
      <c r="F83" s="27">
        <f t="shared" si="61"/>
        <v>0</v>
      </c>
      <c r="G83" s="28" t="s">
        <v>227</v>
      </c>
      <c r="H83" s="19">
        <v>0</v>
      </c>
      <c r="I83" s="27">
        <f t="shared" si="64"/>
        <v>0</v>
      </c>
      <c r="J83" s="28" t="s">
        <v>227</v>
      </c>
      <c r="K83" s="19">
        <v>0</v>
      </c>
      <c r="L83" s="27">
        <f t="shared" si="66"/>
        <v>0</v>
      </c>
      <c r="M83" s="28" t="s">
        <v>227</v>
      </c>
      <c r="N83" s="19">
        <v>0</v>
      </c>
      <c r="O83" s="27">
        <f t="shared" si="69"/>
        <v>0</v>
      </c>
      <c r="P83" s="28" t="s">
        <v>227</v>
      </c>
    </row>
    <row r="84" spans="2:16" ht="15" thickBot="1">
      <c r="B84" s="9" t="s">
        <v>13</v>
      </c>
      <c r="C84" s="18" t="s">
        <v>178</v>
      </c>
      <c r="D84" s="19">
        <v>0</v>
      </c>
      <c r="E84" s="19">
        <v>0</v>
      </c>
      <c r="F84" s="27">
        <f t="shared" si="61"/>
        <v>0</v>
      </c>
      <c r="G84" s="28" t="s">
        <v>227</v>
      </c>
      <c r="H84" s="19">
        <v>0</v>
      </c>
      <c r="I84" s="27">
        <f t="shared" si="64"/>
        <v>0</v>
      </c>
      <c r="J84" s="28" t="s">
        <v>227</v>
      </c>
      <c r="K84" s="19">
        <v>0</v>
      </c>
      <c r="L84" s="27">
        <f t="shared" si="66"/>
        <v>0</v>
      </c>
      <c r="M84" s="28" t="s">
        <v>227</v>
      </c>
      <c r="N84" s="19">
        <v>0</v>
      </c>
      <c r="O84" s="27">
        <f t="shared" si="69"/>
        <v>0</v>
      </c>
      <c r="P84" s="28" t="s">
        <v>227</v>
      </c>
    </row>
    <row r="85" spans="2:16" ht="15" thickBot="1">
      <c r="B85" s="9" t="s">
        <v>25</v>
      </c>
      <c r="C85" s="18" t="s">
        <v>179</v>
      </c>
      <c r="D85" s="19">
        <v>0</v>
      </c>
      <c r="E85" s="19">
        <v>0</v>
      </c>
      <c r="F85" s="27">
        <f t="shared" si="61"/>
        <v>0</v>
      </c>
      <c r="G85" s="28" t="s">
        <v>227</v>
      </c>
      <c r="H85" s="19">
        <v>0</v>
      </c>
      <c r="I85" s="27">
        <f t="shared" si="64"/>
        <v>0</v>
      </c>
      <c r="J85" s="28" t="s">
        <v>227</v>
      </c>
      <c r="K85" s="19">
        <v>0</v>
      </c>
      <c r="L85" s="27">
        <f t="shared" si="66"/>
        <v>0</v>
      </c>
      <c r="M85" s="28" t="s">
        <v>227</v>
      </c>
      <c r="N85" s="19">
        <v>0</v>
      </c>
      <c r="O85" s="27">
        <f t="shared" si="69"/>
        <v>0</v>
      </c>
      <c r="P85" s="28" t="s">
        <v>227</v>
      </c>
    </row>
    <row r="86" spans="2:16" ht="15" thickBot="1">
      <c r="B86" s="9" t="s">
        <v>31</v>
      </c>
      <c r="C86" s="24" t="s">
        <v>180</v>
      </c>
      <c r="D86" s="20">
        <f>SUM(D87:D88)</f>
        <v>1196</v>
      </c>
      <c r="E86" s="20">
        <f t="shared" ref="E86" si="84">SUM(E87:E88)</f>
        <v>1191</v>
      </c>
      <c r="F86" s="27">
        <f t="shared" si="61"/>
        <v>-5</v>
      </c>
      <c r="G86" s="28">
        <f t="shared" si="62"/>
        <v>-0.41806020066889632</v>
      </c>
      <c r="H86" s="20">
        <f t="shared" ref="H86" si="85">SUM(H87:H88)</f>
        <v>1177</v>
      </c>
      <c r="I86" s="27">
        <f t="shared" si="64"/>
        <v>-14</v>
      </c>
      <c r="J86" s="28">
        <f t="shared" si="73"/>
        <v>-1.1754827875734677</v>
      </c>
      <c r="K86" s="20">
        <f t="shared" ref="K86" si="86">SUM(K87:K88)</f>
        <v>1186</v>
      </c>
      <c r="L86" s="27">
        <f t="shared" si="66"/>
        <v>9</v>
      </c>
      <c r="M86" s="28">
        <f t="shared" si="67"/>
        <v>0.76465590484282076</v>
      </c>
      <c r="N86" s="20">
        <f t="shared" ref="N86" si="87">SUM(N87:N88)</f>
        <v>1218</v>
      </c>
      <c r="O86" s="27">
        <f t="shared" si="69"/>
        <v>32</v>
      </c>
      <c r="P86" s="29">
        <f t="shared" si="70"/>
        <v>2.6981450252951094</v>
      </c>
    </row>
    <row r="87" spans="2:16" ht="15" thickBot="1">
      <c r="B87" s="9" t="s">
        <v>9</v>
      </c>
      <c r="C87" s="18" t="s">
        <v>181</v>
      </c>
      <c r="D87" s="19">
        <v>1035</v>
      </c>
      <c r="E87" s="19">
        <v>1035</v>
      </c>
      <c r="F87" s="27">
        <f t="shared" si="61"/>
        <v>0</v>
      </c>
      <c r="G87" s="28">
        <f t="shared" si="62"/>
        <v>0</v>
      </c>
      <c r="H87" s="19">
        <v>1035</v>
      </c>
      <c r="I87" s="27">
        <f t="shared" si="64"/>
        <v>0</v>
      </c>
      <c r="J87" s="28">
        <f t="shared" si="73"/>
        <v>0</v>
      </c>
      <c r="K87" s="19">
        <v>1035</v>
      </c>
      <c r="L87" s="27">
        <f t="shared" si="66"/>
        <v>0</v>
      </c>
      <c r="M87" s="28">
        <f t="shared" si="67"/>
        <v>0</v>
      </c>
      <c r="N87" s="19">
        <v>1035</v>
      </c>
      <c r="O87" s="27">
        <f t="shared" si="69"/>
        <v>0</v>
      </c>
      <c r="P87" s="29">
        <f t="shared" si="70"/>
        <v>0</v>
      </c>
    </row>
    <row r="88" spans="2:16" ht="15" thickBot="1">
      <c r="B88" s="9" t="s">
        <v>11</v>
      </c>
      <c r="C88" s="18" t="s">
        <v>182</v>
      </c>
      <c r="D88" s="19">
        <v>161</v>
      </c>
      <c r="E88" s="19">
        <v>156</v>
      </c>
      <c r="F88" s="27">
        <f t="shared" si="61"/>
        <v>-5</v>
      </c>
      <c r="G88" s="28">
        <f t="shared" si="62"/>
        <v>-3.1055900621118013</v>
      </c>
      <c r="H88" s="19">
        <v>142</v>
      </c>
      <c r="I88" s="27">
        <f t="shared" si="64"/>
        <v>-14</v>
      </c>
      <c r="J88" s="28">
        <f t="shared" si="73"/>
        <v>-8.9743589743589745</v>
      </c>
      <c r="K88" s="19">
        <v>151</v>
      </c>
      <c r="L88" s="27">
        <f t="shared" si="66"/>
        <v>9</v>
      </c>
      <c r="M88" s="28">
        <f t="shared" si="67"/>
        <v>6.3380281690140841</v>
      </c>
      <c r="N88" s="19">
        <v>183</v>
      </c>
      <c r="O88" s="27">
        <f t="shared" si="69"/>
        <v>32</v>
      </c>
      <c r="P88" s="29">
        <f t="shared" si="70"/>
        <v>21.192052980132452</v>
      </c>
    </row>
    <row r="89" spans="2:16" ht="15" thickBot="1">
      <c r="B89" s="9" t="s">
        <v>41</v>
      </c>
      <c r="C89" s="24" t="s">
        <v>183</v>
      </c>
      <c r="D89" s="23">
        <f>SUM(D90:D91)</f>
        <v>55356</v>
      </c>
      <c r="E89" s="23">
        <f t="shared" ref="E89" si="88">SUM(E90:E91)</f>
        <v>81162</v>
      </c>
      <c r="F89" s="27">
        <f t="shared" si="61"/>
        <v>25806</v>
      </c>
      <c r="G89" s="28">
        <f t="shared" si="62"/>
        <v>46.618252763928034</v>
      </c>
      <c r="H89" s="23">
        <f t="shared" ref="H89" si="89">SUM(H90:H91)</f>
        <v>101263</v>
      </c>
      <c r="I89" s="27">
        <f t="shared" si="64"/>
        <v>20101</v>
      </c>
      <c r="J89" s="28">
        <f t="shared" si="73"/>
        <v>24.766516350016019</v>
      </c>
      <c r="K89" s="23">
        <f t="shared" ref="K89" si="90">SUM(K90:K91)</f>
        <v>113984</v>
      </c>
      <c r="L89" s="27">
        <f t="shared" si="66"/>
        <v>12721</v>
      </c>
      <c r="M89" s="28">
        <f t="shared" si="67"/>
        <v>12.562337675162697</v>
      </c>
      <c r="N89" s="23">
        <f t="shared" ref="N89" si="91">SUM(N90:N91)</f>
        <v>130321</v>
      </c>
      <c r="O89" s="27">
        <f>N89-K89</f>
        <v>16337</v>
      </c>
      <c r="P89" s="29">
        <f t="shared" si="70"/>
        <v>14.332713363279057</v>
      </c>
    </row>
    <row r="90" spans="2:16" ht="15" thickBot="1">
      <c r="B90" s="9" t="s">
        <v>9</v>
      </c>
      <c r="C90" s="18" t="s">
        <v>184</v>
      </c>
      <c r="D90" s="19">
        <v>55356</v>
      </c>
      <c r="E90" s="19">
        <v>81162</v>
      </c>
      <c r="F90" s="27">
        <f t="shared" si="61"/>
        <v>25806</v>
      </c>
      <c r="G90" s="28">
        <f t="shared" si="62"/>
        <v>46.618252763928034</v>
      </c>
      <c r="H90" s="19">
        <v>101263</v>
      </c>
      <c r="I90" s="27">
        <f t="shared" si="64"/>
        <v>20101</v>
      </c>
      <c r="J90" s="28">
        <f>(H90-E90)/ABS(E90)*100</f>
        <v>24.766516350016019</v>
      </c>
      <c r="K90" s="19">
        <v>113984</v>
      </c>
      <c r="L90" s="27">
        <f t="shared" si="66"/>
        <v>12721</v>
      </c>
      <c r="M90" s="28">
        <f t="shared" si="67"/>
        <v>12.562337675162697</v>
      </c>
      <c r="N90" s="19">
        <v>130321</v>
      </c>
      <c r="O90" s="27">
        <f t="shared" ref="O90:O105" si="92">N90-K90</f>
        <v>16337</v>
      </c>
      <c r="P90" s="29">
        <f t="shared" si="70"/>
        <v>14.332713363279057</v>
      </c>
    </row>
    <row r="91" spans="2:16" ht="15" thickBot="1">
      <c r="B91" s="9" t="s">
        <v>11</v>
      </c>
      <c r="C91" s="18" t="s">
        <v>185</v>
      </c>
      <c r="D91" s="22">
        <v>0</v>
      </c>
      <c r="E91" s="22">
        <v>0</v>
      </c>
      <c r="F91" s="27">
        <f t="shared" si="61"/>
        <v>0</v>
      </c>
      <c r="G91" s="28" t="s">
        <v>227</v>
      </c>
      <c r="H91" s="22">
        <v>0</v>
      </c>
      <c r="I91" s="27">
        <f t="shared" si="64"/>
        <v>0</v>
      </c>
      <c r="J91" s="28" t="s">
        <v>227</v>
      </c>
      <c r="K91" s="22">
        <v>0</v>
      </c>
      <c r="L91" s="27">
        <f t="shared" si="66"/>
        <v>0</v>
      </c>
      <c r="M91" s="28" t="s">
        <v>227</v>
      </c>
      <c r="N91" s="22">
        <v>0</v>
      </c>
      <c r="O91" s="27">
        <f t="shared" si="92"/>
        <v>0</v>
      </c>
      <c r="P91" s="28" t="s">
        <v>227</v>
      </c>
    </row>
    <row r="92" spans="2:16" ht="15" thickBot="1">
      <c r="B92" s="9" t="s">
        <v>45</v>
      </c>
      <c r="C92" s="24" t="s">
        <v>186</v>
      </c>
      <c r="D92" s="23">
        <v>26706.395000000004</v>
      </c>
      <c r="E92" s="23">
        <v>24700.505000000005</v>
      </c>
      <c r="F92" s="27">
        <f t="shared" si="61"/>
        <v>-2005.8899999999994</v>
      </c>
      <c r="G92" s="28">
        <f t="shared" si="62"/>
        <v>-7.5108976707638719</v>
      </c>
      <c r="H92" s="23">
        <v>20331.857000000004</v>
      </c>
      <c r="I92" s="27">
        <f t="shared" si="64"/>
        <v>-4368.648000000001</v>
      </c>
      <c r="J92" s="28">
        <f t="shared" si="73"/>
        <v>-17.686472402082469</v>
      </c>
      <c r="K92" s="23">
        <v>27043.835999999996</v>
      </c>
      <c r="L92" s="27">
        <f t="shared" si="66"/>
        <v>6711.9789999999921</v>
      </c>
      <c r="M92" s="28">
        <f t="shared" si="67"/>
        <v>33.012129683973242</v>
      </c>
      <c r="N92" s="23">
        <v>19483.725000000006</v>
      </c>
      <c r="O92" s="27">
        <f t="shared" si="92"/>
        <v>-7560.1109999999899</v>
      </c>
      <c r="P92" s="29">
        <f t="shared" si="70"/>
        <v>-27.955024575655578</v>
      </c>
    </row>
    <row r="93" spans="2:16" ht="15" thickBot="1">
      <c r="B93" s="172" t="s">
        <v>15</v>
      </c>
      <c r="C93" s="21" t="s">
        <v>187</v>
      </c>
      <c r="D93" s="23">
        <f>D94+D99+D110+D122</f>
        <v>56077</v>
      </c>
      <c r="E93" s="23">
        <f t="shared" ref="E93" si="93">E94+E99+E110+E122</f>
        <v>73764</v>
      </c>
      <c r="F93" s="27">
        <f t="shared" si="61"/>
        <v>17687</v>
      </c>
      <c r="G93" s="28">
        <f t="shared" si="62"/>
        <v>31.540560301014676</v>
      </c>
      <c r="H93" s="23">
        <f t="shared" ref="H93" si="94">H94+H99+H110+H122</f>
        <v>76689</v>
      </c>
      <c r="I93" s="27">
        <f t="shared" si="64"/>
        <v>2925</v>
      </c>
      <c r="J93" s="28">
        <f t="shared" si="73"/>
        <v>3.9653489507076625</v>
      </c>
      <c r="K93" s="23">
        <f t="shared" ref="K93" si="95">K94+K99+K110+K122</f>
        <v>65287</v>
      </c>
      <c r="L93" s="27">
        <f t="shared" si="66"/>
        <v>-11402</v>
      </c>
      <c r="M93" s="28">
        <f t="shared" si="67"/>
        <v>-14.867842845779707</v>
      </c>
      <c r="N93" s="23">
        <f t="shared" ref="N93" si="96">N94+N99+N110+N122</f>
        <v>78557</v>
      </c>
      <c r="O93" s="27">
        <f t="shared" si="92"/>
        <v>13270</v>
      </c>
      <c r="P93" s="29">
        <f t="shared" si="70"/>
        <v>20.325639101199318</v>
      </c>
    </row>
    <row r="94" spans="2:16" ht="15" thickBot="1">
      <c r="B94" s="9" t="s">
        <v>1</v>
      </c>
      <c r="C94" s="24" t="s">
        <v>188</v>
      </c>
      <c r="D94" s="20">
        <f>SUM(D95:D98)</f>
        <v>1455</v>
      </c>
      <c r="E94" s="20">
        <f t="shared" ref="E94" si="97">SUM(E95:E98)</f>
        <v>1112</v>
      </c>
      <c r="F94" s="27">
        <f t="shared" si="61"/>
        <v>-343</v>
      </c>
      <c r="G94" s="28">
        <f t="shared" si="62"/>
        <v>-23.573883161512025</v>
      </c>
      <c r="H94" s="20">
        <f t="shared" ref="H94" si="98">SUM(H95:H98)</f>
        <v>985</v>
      </c>
      <c r="I94" s="27">
        <f t="shared" si="64"/>
        <v>-127</v>
      </c>
      <c r="J94" s="28">
        <f t="shared" si="73"/>
        <v>-11.420863309352518</v>
      </c>
      <c r="K94" s="20">
        <f t="shared" ref="K94" si="99">SUM(K95:K98)</f>
        <v>845</v>
      </c>
      <c r="L94" s="27">
        <f t="shared" si="66"/>
        <v>-140</v>
      </c>
      <c r="M94" s="28">
        <f t="shared" si="67"/>
        <v>-14.213197969543149</v>
      </c>
      <c r="N94" s="20">
        <f t="shared" ref="N94" si="100">SUM(N95:N98)</f>
        <v>716</v>
      </c>
      <c r="O94" s="27">
        <f t="shared" si="92"/>
        <v>-129</v>
      </c>
      <c r="P94" s="29">
        <f t="shared" si="70"/>
        <v>-15.266272189349111</v>
      </c>
    </row>
    <row r="95" spans="2:16" ht="15" thickBot="1">
      <c r="B95" s="9" t="s">
        <v>9</v>
      </c>
      <c r="C95" s="18" t="s">
        <v>189</v>
      </c>
      <c r="D95" s="19">
        <v>1455</v>
      </c>
      <c r="E95" s="19">
        <v>1112</v>
      </c>
      <c r="F95" s="27">
        <f t="shared" si="61"/>
        <v>-343</v>
      </c>
      <c r="G95" s="28">
        <f t="shared" si="62"/>
        <v>-23.573883161512025</v>
      </c>
      <c r="H95" s="19">
        <v>985</v>
      </c>
      <c r="I95" s="27">
        <f t="shared" si="64"/>
        <v>-127</v>
      </c>
      <c r="J95" s="28">
        <f t="shared" si="73"/>
        <v>-11.420863309352518</v>
      </c>
      <c r="K95" s="19">
        <v>845</v>
      </c>
      <c r="L95" s="27">
        <f t="shared" si="66"/>
        <v>-140</v>
      </c>
      <c r="M95" s="28">
        <f t="shared" si="67"/>
        <v>-14.213197969543149</v>
      </c>
      <c r="N95" s="19">
        <v>716</v>
      </c>
      <c r="O95" s="27">
        <f t="shared" si="92"/>
        <v>-129</v>
      </c>
      <c r="P95" s="29">
        <f t="shared" si="70"/>
        <v>-15.266272189349111</v>
      </c>
    </row>
    <row r="96" spans="2:16" ht="15" thickBot="1">
      <c r="B96" s="9" t="s">
        <v>11</v>
      </c>
      <c r="C96" s="18" t="s">
        <v>190</v>
      </c>
      <c r="D96" s="19">
        <v>0</v>
      </c>
      <c r="E96" s="19">
        <v>0</v>
      </c>
      <c r="F96" s="27">
        <f t="shared" si="61"/>
        <v>0</v>
      </c>
      <c r="G96" s="28" t="s">
        <v>227</v>
      </c>
      <c r="H96" s="19">
        <v>0</v>
      </c>
      <c r="I96" s="27">
        <f t="shared" si="64"/>
        <v>0</v>
      </c>
      <c r="J96" s="28" t="s">
        <v>227</v>
      </c>
      <c r="K96" s="19">
        <v>0</v>
      </c>
      <c r="L96" s="27">
        <f t="shared" si="66"/>
        <v>0</v>
      </c>
      <c r="M96" s="28" t="s">
        <v>227</v>
      </c>
      <c r="N96" s="19">
        <v>0</v>
      </c>
      <c r="O96" s="27">
        <f t="shared" si="92"/>
        <v>0</v>
      </c>
      <c r="P96" s="28" t="s">
        <v>227</v>
      </c>
    </row>
    <row r="97" spans="2:16" ht="15" thickBot="1">
      <c r="B97" s="9" t="s">
        <v>13</v>
      </c>
      <c r="C97" s="18" t="s">
        <v>191</v>
      </c>
      <c r="D97" s="19">
        <v>0</v>
      </c>
      <c r="E97" s="19">
        <v>0</v>
      </c>
      <c r="F97" s="27">
        <f t="shared" si="61"/>
        <v>0</v>
      </c>
      <c r="G97" s="28" t="s">
        <v>227</v>
      </c>
      <c r="H97" s="19">
        <v>0</v>
      </c>
      <c r="I97" s="27">
        <f t="shared" si="64"/>
        <v>0</v>
      </c>
      <c r="J97" s="28" t="s">
        <v>227</v>
      </c>
      <c r="K97" s="19">
        <v>0</v>
      </c>
      <c r="L97" s="27">
        <f t="shared" si="66"/>
        <v>0</v>
      </c>
      <c r="M97" s="28" t="s">
        <v>227</v>
      </c>
      <c r="N97" s="19">
        <v>0</v>
      </c>
      <c r="O97" s="27">
        <f t="shared" si="92"/>
        <v>0</v>
      </c>
      <c r="P97" s="28" t="s">
        <v>227</v>
      </c>
    </row>
    <row r="98" spans="2:16" ht="15" thickBot="1">
      <c r="B98" s="9" t="s">
        <v>25</v>
      </c>
      <c r="C98" s="18" t="s">
        <v>192</v>
      </c>
      <c r="D98" s="19">
        <v>0</v>
      </c>
      <c r="E98" s="19">
        <v>0</v>
      </c>
      <c r="F98" s="27">
        <f t="shared" si="61"/>
        <v>0</v>
      </c>
      <c r="G98" s="28" t="s">
        <v>227</v>
      </c>
      <c r="H98" s="19">
        <v>0</v>
      </c>
      <c r="I98" s="27">
        <f t="shared" si="64"/>
        <v>0</v>
      </c>
      <c r="J98" s="28" t="s">
        <v>227</v>
      </c>
      <c r="K98" s="19">
        <v>0</v>
      </c>
      <c r="L98" s="27">
        <f t="shared" si="66"/>
        <v>0</v>
      </c>
      <c r="M98" s="28" t="s">
        <v>227</v>
      </c>
      <c r="N98" s="19">
        <v>0</v>
      </c>
      <c r="O98" s="27">
        <f t="shared" si="92"/>
        <v>0</v>
      </c>
      <c r="P98" s="28" t="s">
        <v>227</v>
      </c>
    </row>
    <row r="99" spans="2:16" ht="15" thickBot="1">
      <c r="B99" s="9" t="s">
        <v>7</v>
      </c>
      <c r="C99" s="24" t="s">
        <v>193</v>
      </c>
      <c r="D99" s="23">
        <f>SUM(D100:D109)</f>
        <v>3235</v>
      </c>
      <c r="E99" s="23">
        <f t="shared" ref="E99" si="101">SUM(E100:E109)</f>
        <v>4428</v>
      </c>
      <c r="F99" s="27">
        <f>E99-D99</f>
        <v>1193</v>
      </c>
      <c r="G99" s="28">
        <f t="shared" si="62"/>
        <v>36.877897990726424</v>
      </c>
      <c r="H99" s="23">
        <f t="shared" ref="H99" si="102">SUM(H100:H109)</f>
        <v>4949</v>
      </c>
      <c r="I99" s="27">
        <f t="shared" si="64"/>
        <v>521</v>
      </c>
      <c r="J99" s="28">
        <f t="shared" si="73"/>
        <v>11.766034327009937</v>
      </c>
      <c r="K99" s="23">
        <f t="shared" ref="K99" si="103">SUM(K100:K109)</f>
        <v>5739</v>
      </c>
      <c r="L99" s="27">
        <f t="shared" si="66"/>
        <v>790</v>
      </c>
      <c r="M99" s="28">
        <f t="shared" si="67"/>
        <v>15.962820771873107</v>
      </c>
      <c r="N99" s="23">
        <f t="shared" ref="N99" si="104">SUM(N100:N109)</f>
        <v>6574</v>
      </c>
      <c r="O99" s="27">
        <f t="shared" si="92"/>
        <v>835</v>
      </c>
      <c r="P99" s="29">
        <f t="shared" si="70"/>
        <v>14.549573096358252</v>
      </c>
    </row>
    <row r="100" spans="2:16" ht="15" thickBot="1">
      <c r="B100" s="9" t="s">
        <v>9</v>
      </c>
      <c r="C100" s="18" t="s">
        <v>194</v>
      </c>
      <c r="D100" s="22">
        <v>0</v>
      </c>
      <c r="E100" s="22">
        <v>0</v>
      </c>
      <c r="F100" s="27">
        <f t="shared" si="61"/>
        <v>0</v>
      </c>
      <c r="G100" s="28" t="s">
        <v>227</v>
      </c>
      <c r="H100" s="22">
        <v>0</v>
      </c>
      <c r="I100" s="27">
        <f t="shared" si="64"/>
        <v>0</v>
      </c>
      <c r="J100" s="28" t="s">
        <v>227</v>
      </c>
      <c r="K100" s="22">
        <v>0</v>
      </c>
      <c r="L100" s="27">
        <f t="shared" si="66"/>
        <v>0</v>
      </c>
      <c r="M100" s="28" t="s">
        <v>227</v>
      </c>
      <c r="N100" s="22">
        <v>0</v>
      </c>
      <c r="O100" s="27">
        <f t="shared" si="92"/>
        <v>0</v>
      </c>
      <c r="P100" s="28" t="s">
        <v>227</v>
      </c>
    </row>
    <row r="101" spans="2:16" ht="15" thickBot="1">
      <c r="B101" s="9" t="s">
        <v>11</v>
      </c>
      <c r="C101" s="18" t="s">
        <v>195</v>
      </c>
      <c r="D101" s="19">
        <v>0</v>
      </c>
      <c r="E101" s="19">
        <v>0</v>
      </c>
      <c r="F101" s="27">
        <f t="shared" si="61"/>
        <v>0</v>
      </c>
      <c r="G101" s="28" t="s">
        <v>227</v>
      </c>
      <c r="H101" s="19">
        <v>0</v>
      </c>
      <c r="I101" s="27">
        <f t="shared" si="64"/>
        <v>0</v>
      </c>
      <c r="J101" s="28" t="s">
        <v>227</v>
      </c>
      <c r="K101" s="19">
        <v>0</v>
      </c>
      <c r="L101" s="27">
        <f t="shared" si="66"/>
        <v>0</v>
      </c>
      <c r="M101" s="28" t="s">
        <v>227</v>
      </c>
      <c r="N101" s="19">
        <v>0</v>
      </c>
      <c r="O101" s="27">
        <f t="shared" si="92"/>
        <v>0</v>
      </c>
      <c r="P101" s="28" t="s">
        <v>227</v>
      </c>
    </row>
    <row r="102" spans="2:16" ht="15" thickBot="1">
      <c r="B102" s="9" t="s">
        <v>13</v>
      </c>
      <c r="C102" s="18" t="s">
        <v>196</v>
      </c>
      <c r="D102" s="19">
        <v>0</v>
      </c>
      <c r="E102" s="19">
        <v>0</v>
      </c>
      <c r="F102" s="27">
        <f t="shared" si="61"/>
        <v>0</v>
      </c>
      <c r="G102" s="28" t="s">
        <v>227</v>
      </c>
      <c r="H102" s="19">
        <v>0</v>
      </c>
      <c r="I102" s="27">
        <f t="shared" si="64"/>
        <v>0</v>
      </c>
      <c r="J102" s="28" t="s">
        <v>227</v>
      </c>
      <c r="K102" s="19">
        <v>0</v>
      </c>
      <c r="L102" s="27">
        <f t="shared" si="66"/>
        <v>0</v>
      </c>
      <c r="M102" s="28" t="s">
        <v>227</v>
      </c>
      <c r="N102" s="19">
        <v>0</v>
      </c>
      <c r="O102" s="27">
        <f t="shared" si="92"/>
        <v>0</v>
      </c>
      <c r="P102" s="28" t="s">
        <v>227</v>
      </c>
    </row>
    <row r="103" spans="2:16" ht="15" thickBot="1">
      <c r="B103" s="9" t="s">
        <v>25</v>
      </c>
      <c r="C103" s="18" t="s">
        <v>197</v>
      </c>
      <c r="D103" s="19">
        <v>0</v>
      </c>
      <c r="E103" s="19">
        <v>0</v>
      </c>
      <c r="F103" s="27">
        <f t="shared" si="61"/>
        <v>0</v>
      </c>
      <c r="G103" s="28" t="s">
        <v>227</v>
      </c>
      <c r="H103" s="19">
        <v>0</v>
      </c>
      <c r="I103" s="27">
        <f t="shared" si="64"/>
        <v>0</v>
      </c>
      <c r="J103" s="28" t="s">
        <v>227</v>
      </c>
      <c r="K103" s="19">
        <v>0</v>
      </c>
      <c r="L103" s="27">
        <f t="shared" si="66"/>
        <v>0</v>
      </c>
      <c r="M103" s="28" t="s">
        <v>227</v>
      </c>
      <c r="N103" s="19">
        <v>0</v>
      </c>
      <c r="O103" s="27">
        <f t="shared" si="92"/>
        <v>0</v>
      </c>
      <c r="P103" s="28" t="s">
        <v>227</v>
      </c>
    </row>
    <row r="104" spans="2:16" ht="15" thickBot="1">
      <c r="B104" s="9" t="s">
        <v>110</v>
      </c>
      <c r="C104" s="18" t="s">
        <v>198</v>
      </c>
      <c r="D104" s="19">
        <v>0</v>
      </c>
      <c r="E104" s="19">
        <v>0</v>
      </c>
      <c r="F104" s="27">
        <f t="shared" si="61"/>
        <v>0</v>
      </c>
      <c r="G104" s="28" t="s">
        <v>227</v>
      </c>
      <c r="H104" s="19">
        <v>0</v>
      </c>
      <c r="I104" s="27">
        <f t="shared" si="64"/>
        <v>0</v>
      </c>
      <c r="J104" s="28" t="s">
        <v>227</v>
      </c>
      <c r="K104" s="19">
        <v>0</v>
      </c>
      <c r="L104" s="27">
        <f t="shared" si="66"/>
        <v>0</v>
      </c>
      <c r="M104" s="28" t="s">
        <v>227</v>
      </c>
      <c r="N104" s="19">
        <v>0</v>
      </c>
      <c r="O104" s="27">
        <f t="shared" si="92"/>
        <v>0</v>
      </c>
      <c r="P104" s="28" t="s">
        <v>227</v>
      </c>
    </row>
    <row r="105" spans="2:16" ht="15" thickBot="1">
      <c r="B105" s="9" t="s">
        <v>112</v>
      </c>
      <c r="C105" s="18" t="s">
        <v>199</v>
      </c>
      <c r="D105" s="19">
        <v>0</v>
      </c>
      <c r="E105" s="19">
        <v>0</v>
      </c>
      <c r="F105" s="27">
        <f t="shared" si="61"/>
        <v>0</v>
      </c>
      <c r="G105" s="28" t="s">
        <v>227</v>
      </c>
      <c r="H105" s="19">
        <v>0</v>
      </c>
      <c r="I105" s="27">
        <f t="shared" si="64"/>
        <v>0</v>
      </c>
      <c r="J105" s="28" t="s">
        <v>227</v>
      </c>
      <c r="K105" s="19">
        <v>0</v>
      </c>
      <c r="L105" s="27">
        <f t="shared" si="66"/>
        <v>0</v>
      </c>
      <c r="M105" s="28" t="s">
        <v>227</v>
      </c>
      <c r="N105" s="19">
        <v>0</v>
      </c>
      <c r="O105" s="27">
        <f t="shared" si="92"/>
        <v>0</v>
      </c>
      <c r="P105" s="28" t="s">
        <v>227</v>
      </c>
    </row>
    <row r="106" spans="2:16" ht="15" thickBot="1">
      <c r="B106" s="9" t="s">
        <v>114</v>
      </c>
      <c r="C106" s="18" t="s">
        <v>200</v>
      </c>
      <c r="D106" s="19">
        <v>0</v>
      </c>
      <c r="E106" s="19">
        <v>0</v>
      </c>
      <c r="F106" s="27">
        <f t="shared" si="61"/>
        <v>0</v>
      </c>
      <c r="G106" s="28" t="s">
        <v>227</v>
      </c>
      <c r="H106" s="19">
        <v>0</v>
      </c>
      <c r="I106" s="27">
        <f t="shared" si="64"/>
        <v>0</v>
      </c>
      <c r="J106" s="28" t="s">
        <v>227</v>
      </c>
      <c r="K106" s="19">
        <v>0</v>
      </c>
      <c r="L106" s="27">
        <f t="shared" si="66"/>
        <v>0</v>
      </c>
      <c r="M106" s="28" t="s">
        <v>227</v>
      </c>
      <c r="N106" s="19">
        <v>0</v>
      </c>
      <c r="O106" s="27">
        <f>N106-K106</f>
        <v>0</v>
      </c>
      <c r="P106" s="28" t="s">
        <v>227</v>
      </c>
    </row>
    <row r="107" spans="2:16" ht="15" thickBot="1">
      <c r="B107" s="9" t="s">
        <v>116</v>
      </c>
      <c r="C107" s="18" t="s">
        <v>201</v>
      </c>
      <c r="D107" s="7">
        <v>0</v>
      </c>
      <c r="E107" s="7">
        <v>0</v>
      </c>
      <c r="F107" s="27">
        <f t="shared" si="61"/>
        <v>0</v>
      </c>
      <c r="G107" s="28" t="s">
        <v>227</v>
      </c>
      <c r="H107" s="7">
        <v>0</v>
      </c>
      <c r="I107" s="27">
        <f t="shared" si="64"/>
        <v>0</v>
      </c>
      <c r="J107" s="28" t="s">
        <v>227</v>
      </c>
      <c r="K107" s="7">
        <v>0</v>
      </c>
      <c r="L107" s="27">
        <f t="shared" si="66"/>
        <v>0</v>
      </c>
      <c r="M107" s="28" t="s">
        <v>227</v>
      </c>
      <c r="N107" s="7">
        <v>0</v>
      </c>
      <c r="O107" s="27">
        <f t="shared" ref="O107:O128" si="105">N107-K107</f>
        <v>0</v>
      </c>
      <c r="P107" s="28" t="s">
        <v>227</v>
      </c>
    </row>
    <row r="108" spans="2:16" ht="15" thickBot="1">
      <c r="B108" s="9" t="s">
        <v>127</v>
      </c>
      <c r="C108" s="18" t="s">
        <v>202</v>
      </c>
      <c r="D108" s="19">
        <v>0</v>
      </c>
      <c r="E108" s="19">
        <v>0</v>
      </c>
      <c r="F108" s="27">
        <f t="shared" si="61"/>
        <v>0</v>
      </c>
      <c r="G108" s="28" t="s">
        <v>227</v>
      </c>
      <c r="H108" s="19">
        <v>0</v>
      </c>
      <c r="I108" s="27">
        <f t="shared" si="64"/>
        <v>0</v>
      </c>
      <c r="J108" s="28" t="s">
        <v>227</v>
      </c>
      <c r="K108" s="19">
        <v>0</v>
      </c>
      <c r="L108" s="27">
        <f t="shared" si="66"/>
        <v>0</v>
      </c>
      <c r="M108" s="28" t="s">
        <v>227</v>
      </c>
      <c r="N108" s="19">
        <v>0</v>
      </c>
      <c r="O108" s="27">
        <f t="shared" si="105"/>
        <v>0</v>
      </c>
      <c r="P108" s="28" t="s">
        <v>227</v>
      </c>
    </row>
    <row r="109" spans="2:16" ht="15" thickBot="1">
      <c r="B109" s="9" t="s">
        <v>203</v>
      </c>
      <c r="C109" s="18" t="s">
        <v>204</v>
      </c>
      <c r="D109" s="19">
        <v>3235</v>
      </c>
      <c r="E109" s="19">
        <f>3235+1193</f>
        <v>4428</v>
      </c>
      <c r="F109" s="27">
        <f t="shared" si="61"/>
        <v>1193</v>
      </c>
      <c r="G109" s="28">
        <f t="shared" si="62"/>
        <v>36.877897990726424</v>
      </c>
      <c r="H109" s="19">
        <f>4428+521</f>
        <v>4949</v>
      </c>
      <c r="I109" s="27">
        <f t="shared" si="64"/>
        <v>521</v>
      </c>
      <c r="J109" s="28">
        <f t="shared" si="73"/>
        <v>11.766034327009937</v>
      </c>
      <c r="K109" s="19">
        <f>4949+790</f>
        <v>5739</v>
      </c>
      <c r="L109" s="27">
        <f t="shared" si="66"/>
        <v>790</v>
      </c>
      <c r="M109" s="28">
        <f t="shared" si="67"/>
        <v>15.962820771873107</v>
      </c>
      <c r="N109" s="19">
        <f>5739+835</f>
        <v>6574</v>
      </c>
      <c r="O109" s="27">
        <f t="shared" si="105"/>
        <v>835</v>
      </c>
      <c r="P109" s="29">
        <f t="shared" si="70"/>
        <v>14.549573096358252</v>
      </c>
    </row>
    <row r="110" spans="2:16" ht="15" thickBot="1">
      <c r="B110" s="9" t="s">
        <v>31</v>
      </c>
      <c r="C110" s="24" t="s">
        <v>205</v>
      </c>
      <c r="D110" s="23">
        <f>SUM(D111:D121)</f>
        <v>24827</v>
      </c>
      <c r="E110" s="23">
        <f t="shared" ref="E110" si="106">SUM(E111:E121)</f>
        <v>23242</v>
      </c>
      <c r="F110" s="27">
        <f t="shared" si="61"/>
        <v>-1585</v>
      </c>
      <c r="G110" s="28">
        <f t="shared" si="62"/>
        <v>-6.3841785153260568</v>
      </c>
      <c r="H110" s="23">
        <f t="shared" ref="H110" si="107">SUM(H111:H121)</f>
        <v>28193</v>
      </c>
      <c r="I110" s="27">
        <f t="shared" si="64"/>
        <v>4951</v>
      </c>
      <c r="J110" s="28">
        <f t="shared" si="73"/>
        <v>21.301953360296018</v>
      </c>
      <c r="K110" s="23">
        <f t="shared" ref="K110" si="108">SUM(K111:K121)</f>
        <v>29162</v>
      </c>
      <c r="L110" s="27">
        <f t="shared" si="66"/>
        <v>969</v>
      </c>
      <c r="M110" s="28">
        <f t="shared" si="67"/>
        <v>3.4370233745965311</v>
      </c>
      <c r="N110" s="23">
        <f t="shared" ref="N110" si="109">SUM(N111:N121)</f>
        <v>30189</v>
      </c>
      <c r="O110" s="27">
        <f t="shared" si="105"/>
        <v>1027</v>
      </c>
      <c r="P110" s="29">
        <f t="shared" si="70"/>
        <v>3.5217063301556819</v>
      </c>
    </row>
    <row r="111" spans="2:16" ht="15" thickBot="1">
      <c r="B111" s="9" t="s">
        <v>9</v>
      </c>
      <c r="C111" s="18" t="s">
        <v>194</v>
      </c>
      <c r="D111" s="22">
        <v>14233</v>
      </c>
      <c r="E111" s="22">
        <v>16328</v>
      </c>
      <c r="F111" s="27">
        <f t="shared" si="61"/>
        <v>2095</v>
      </c>
      <c r="G111" s="28">
        <f t="shared" si="62"/>
        <v>14.719314269655026</v>
      </c>
      <c r="H111" s="22">
        <v>17414</v>
      </c>
      <c r="I111" s="27">
        <f t="shared" si="64"/>
        <v>1086</v>
      </c>
      <c r="J111" s="28">
        <f t="shared" si="73"/>
        <v>6.6511513963743258</v>
      </c>
      <c r="K111" s="22">
        <v>15328</v>
      </c>
      <c r="L111" s="27">
        <f t="shared" si="66"/>
        <v>-2086</v>
      </c>
      <c r="M111" s="28">
        <f t="shared" si="67"/>
        <v>-11.978867577810956</v>
      </c>
      <c r="N111" s="22">
        <v>18245</v>
      </c>
      <c r="O111" s="27">
        <f t="shared" si="105"/>
        <v>2917</v>
      </c>
      <c r="P111" s="29">
        <f t="shared" si="70"/>
        <v>19.03053235908142</v>
      </c>
    </row>
    <row r="112" spans="2:16" ht="15" thickBot="1">
      <c r="B112" s="9" t="s">
        <v>11</v>
      </c>
      <c r="C112" s="18" t="s">
        <v>195</v>
      </c>
      <c r="D112" s="19">
        <v>0</v>
      </c>
      <c r="E112" s="19">
        <v>0</v>
      </c>
      <c r="F112" s="27">
        <f t="shared" si="61"/>
        <v>0</v>
      </c>
      <c r="G112" s="28" t="s">
        <v>227</v>
      </c>
      <c r="H112" s="19">
        <v>0</v>
      </c>
      <c r="I112" s="27">
        <f t="shared" si="64"/>
        <v>0</v>
      </c>
      <c r="J112" s="28" t="s">
        <v>227</v>
      </c>
      <c r="K112" s="19">
        <v>0</v>
      </c>
      <c r="L112" s="27">
        <f t="shared" si="66"/>
        <v>0</v>
      </c>
      <c r="M112" s="28" t="s">
        <v>227</v>
      </c>
      <c r="N112" s="19">
        <v>0</v>
      </c>
      <c r="O112" s="27">
        <f t="shared" si="105"/>
        <v>0</v>
      </c>
      <c r="P112" s="28" t="s">
        <v>227</v>
      </c>
    </row>
    <row r="113" spans="2:16" ht="15" thickBot="1">
      <c r="B113" s="9" t="s">
        <v>13</v>
      </c>
      <c r="C113" s="18" t="s">
        <v>196</v>
      </c>
      <c r="D113" s="19">
        <v>0</v>
      </c>
      <c r="E113" s="19">
        <v>0</v>
      </c>
      <c r="F113" s="27">
        <f t="shared" si="61"/>
        <v>0</v>
      </c>
      <c r="G113" s="28" t="s">
        <v>227</v>
      </c>
      <c r="H113" s="19">
        <v>0</v>
      </c>
      <c r="I113" s="27">
        <f t="shared" si="64"/>
        <v>0</v>
      </c>
      <c r="J113" s="28" t="s">
        <v>227</v>
      </c>
      <c r="K113" s="19">
        <v>0</v>
      </c>
      <c r="L113" s="27">
        <f t="shared" si="66"/>
        <v>0</v>
      </c>
      <c r="M113" s="28" t="s">
        <v>227</v>
      </c>
      <c r="N113" s="19">
        <v>0</v>
      </c>
      <c r="O113" s="27">
        <f t="shared" si="105"/>
        <v>0</v>
      </c>
      <c r="P113" s="28" t="s">
        <v>227</v>
      </c>
    </row>
    <row r="114" spans="2:16" ht="15" thickBot="1">
      <c r="B114" s="9" t="s">
        <v>25</v>
      </c>
      <c r="C114" s="18" t="s">
        <v>197</v>
      </c>
      <c r="D114" s="19">
        <v>0</v>
      </c>
      <c r="E114" s="19">
        <v>0</v>
      </c>
      <c r="F114" s="27">
        <f t="shared" si="61"/>
        <v>0</v>
      </c>
      <c r="G114" s="28" t="s">
        <v>227</v>
      </c>
      <c r="H114" s="19">
        <v>0</v>
      </c>
      <c r="I114" s="27">
        <f t="shared" si="64"/>
        <v>0</v>
      </c>
      <c r="J114" s="28" t="s">
        <v>227</v>
      </c>
      <c r="K114" s="19">
        <v>0</v>
      </c>
      <c r="L114" s="27">
        <f t="shared" si="66"/>
        <v>0</v>
      </c>
      <c r="M114" s="28" t="s">
        <v>227</v>
      </c>
      <c r="N114" s="19">
        <v>0</v>
      </c>
      <c r="O114" s="27">
        <f t="shared" si="105"/>
        <v>0</v>
      </c>
      <c r="P114" s="28" t="s">
        <v>227</v>
      </c>
    </row>
    <row r="115" spans="2:16" ht="15" thickBot="1">
      <c r="B115" s="9" t="s">
        <v>110</v>
      </c>
      <c r="C115" s="18" t="s">
        <v>206</v>
      </c>
      <c r="D115" s="19">
        <v>2538</v>
      </c>
      <c r="E115" s="19">
        <v>2893</v>
      </c>
      <c r="F115" s="27">
        <f t="shared" si="61"/>
        <v>355</v>
      </c>
      <c r="G115" s="28">
        <f t="shared" si="62"/>
        <v>13.987391646966115</v>
      </c>
      <c r="H115" s="19">
        <v>3526</v>
      </c>
      <c r="I115" s="27">
        <f t="shared" si="64"/>
        <v>633</v>
      </c>
      <c r="J115" s="28">
        <f t="shared" si="73"/>
        <v>21.88040096785344</v>
      </c>
      <c r="K115" s="19">
        <v>3928</v>
      </c>
      <c r="L115" s="27">
        <f t="shared" si="66"/>
        <v>402</v>
      </c>
      <c r="M115" s="28">
        <f t="shared" si="67"/>
        <v>11.401020986954055</v>
      </c>
      <c r="N115" s="19">
        <v>4635</v>
      </c>
      <c r="O115" s="27">
        <f t="shared" si="105"/>
        <v>707</v>
      </c>
      <c r="P115" s="29">
        <f t="shared" si="70"/>
        <v>17.998981670061102</v>
      </c>
    </row>
    <row r="116" spans="2:16" ht="15" thickBot="1">
      <c r="B116" s="9" t="s">
        <v>112</v>
      </c>
      <c r="C116" s="18" t="s">
        <v>207</v>
      </c>
      <c r="D116" s="19">
        <v>1521</v>
      </c>
      <c r="E116" s="19">
        <v>1683</v>
      </c>
      <c r="F116" s="27">
        <f t="shared" si="61"/>
        <v>162</v>
      </c>
      <c r="G116" s="28">
        <f t="shared" si="62"/>
        <v>10.650887573964498</v>
      </c>
      <c r="H116" s="19">
        <v>2216</v>
      </c>
      <c r="I116" s="27">
        <f t="shared" si="64"/>
        <v>533</v>
      </c>
      <c r="J116" s="28">
        <f t="shared" si="73"/>
        <v>31.669637551990494</v>
      </c>
      <c r="K116" s="19">
        <v>2425</v>
      </c>
      <c r="L116" s="27">
        <f t="shared" si="66"/>
        <v>209</v>
      </c>
      <c r="M116" s="28">
        <f t="shared" si="67"/>
        <v>9.4314079422382662</v>
      </c>
      <c r="N116" s="19">
        <v>2632</v>
      </c>
      <c r="O116" s="27">
        <f t="shared" si="105"/>
        <v>207</v>
      </c>
      <c r="P116" s="29">
        <f t="shared" si="70"/>
        <v>8.536082474226804</v>
      </c>
    </row>
    <row r="117" spans="2:16" ht="15" thickBot="1">
      <c r="B117" s="9" t="s">
        <v>114</v>
      </c>
      <c r="C117" s="18" t="s">
        <v>208</v>
      </c>
      <c r="D117" s="19">
        <v>3825</v>
      </c>
      <c r="E117" s="19">
        <v>1035</v>
      </c>
      <c r="F117" s="27">
        <f t="shared" si="61"/>
        <v>-2790</v>
      </c>
      <c r="G117" s="28">
        <f t="shared" si="62"/>
        <v>-72.941176470588232</v>
      </c>
      <c r="H117" s="19">
        <v>2125</v>
      </c>
      <c r="I117" s="27">
        <f t="shared" si="64"/>
        <v>1090</v>
      </c>
      <c r="J117" s="28">
        <f>(H117-E117)/ABS(E117)*100</f>
        <v>105.31400966183575</v>
      </c>
      <c r="K117" s="19">
        <v>3262</v>
      </c>
      <c r="L117" s="27">
        <f t="shared" si="66"/>
        <v>1137</v>
      </c>
      <c r="M117" s="28">
        <f t="shared" si="67"/>
        <v>53.505882352941178</v>
      </c>
      <c r="N117" s="19">
        <v>2351</v>
      </c>
      <c r="O117" s="27">
        <f t="shared" si="105"/>
        <v>-911</v>
      </c>
      <c r="P117" s="29">
        <f t="shared" si="70"/>
        <v>-27.92765174739424</v>
      </c>
    </row>
    <row r="118" spans="2:16" ht="15" thickBot="1">
      <c r="B118" s="9" t="s">
        <v>116</v>
      </c>
      <c r="C118" s="18" t="s">
        <v>209</v>
      </c>
      <c r="D118" s="19">
        <v>165</v>
      </c>
      <c r="E118" s="19">
        <v>123</v>
      </c>
      <c r="F118" s="27">
        <f t="shared" si="61"/>
        <v>-42</v>
      </c>
      <c r="G118" s="28">
        <f t="shared" si="62"/>
        <v>-25.454545454545453</v>
      </c>
      <c r="H118" s="19">
        <v>1022</v>
      </c>
      <c r="I118" s="27">
        <f t="shared" si="64"/>
        <v>899</v>
      </c>
      <c r="J118" s="28">
        <f t="shared" si="73"/>
        <v>730.89430894308941</v>
      </c>
      <c r="K118" s="19">
        <v>3265</v>
      </c>
      <c r="L118" s="27">
        <f t="shared" si="66"/>
        <v>2243</v>
      </c>
      <c r="M118" s="28">
        <f t="shared" si="67"/>
        <v>219.4716242661448</v>
      </c>
      <c r="N118" s="19">
        <v>1126</v>
      </c>
      <c r="O118" s="27">
        <f t="shared" si="105"/>
        <v>-2139</v>
      </c>
      <c r="P118" s="29">
        <f t="shared" si="70"/>
        <v>-65.513016845329247</v>
      </c>
    </row>
    <row r="119" spans="2:16" ht="15" thickBot="1">
      <c r="B119" s="9" t="s">
        <v>127</v>
      </c>
      <c r="C119" s="18" t="s">
        <v>199</v>
      </c>
      <c r="D119" s="19">
        <v>0</v>
      </c>
      <c r="E119" s="19">
        <v>0</v>
      </c>
      <c r="F119" s="27">
        <f t="shared" si="61"/>
        <v>0</v>
      </c>
      <c r="G119" s="28" t="s">
        <v>227</v>
      </c>
      <c r="H119" s="19">
        <v>0</v>
      </c>
      <c r="I119" s="27">
        <f t="shared" si="64"/>
        <v>0</v>
      </c>
      <c r="J119" s="28" t="s">
        <v>227</v>
      </c>
      <c r="K119" s="19">
        <v>0</v>
      </c>
      <c r="L119" s="27">
        <f t="shared" si="66"/>
        <v>0</v>
      </c>
      <c r="M119" s="28" t="s">
        <v>227</v>
      </c>
      <c r="N119" s="19">
        <v>0</v>
      </c>
      <c r="O119" s="27">
        <f t="shared" si="105"/>
        <v>0</v>
      </c>
      <c r="P119" s="28" t="s">
        <v>227</v>
      </c>
    </row>
    <row r="120" spans="2:16" ht="15" thickBot="1">
      <c r="B120" s="9" t="s">
        <v>203</v>
      </c>
      <c r="C120" s="18" t="s">
        <v>201</v>
      </c>
      <c r="D120" s="19">
        <v>1125</v>
      </c>
      <c r="E120" s="19">
        <v>345</v>
      </c>
      <c r="F120" s="27">
        <f t="shared" si="61"/>
        <v>-780</v>
      </c>
      <c r="G120" s="28">
        <f t="shared" si="62"/>
        <v>-69.333333333333343</v>
      </c>
      <c r="H120" s="19">
        <v>1265</v>
      </c>
      <c r="I120" s="27">
        <f t="shared" si="64"/>
        <v>920</v>
      </c>
      <c r="J120" s="28">
        <f t="shared" si="73"/>
        <v>266.66666666666663</v>
      </c>
      <c r="K120" s="19">
        <v>526</v>
      </c>
      <c r="L120" s="27">
        <f t="shared" si="66"/>
        <v>-739</v>
      </c>
      <c r="M120" s="28">
        <f t="shared" si="67"/>
        <v>-58.418972332015805</v>
      </c>
      <c r="N120" s="19">
        <v>835</v>
      </c>
      <c r="O120" s="27">
        <f t="shared" si="105"/>
        <v>309</v>
      </c>
      <c r="P120" s="29">
        <f t="shared" si="70"/>
        <v>58.745247148288968</v>
      </c>
    </row>
    <row r="121" spans="2:16" ht="15" thickBot="1">
      <c r="B121" s="9" t="s">
        <v>210</v>
      </c>
      <c r="C121" s="18" t="s">
        <v>211</v>
      </c>
      <c r="D121" s="19">
        <v>1420</v>
      </c>
      <c r="E121" s="19">
        <v>835</v>
      </c>
      <c r="F121" s="27">
        <f t="shared" si="61"/>
        <v>-585</v>
      </c>
      <c r="G121" s="28">
        <f t="shared" si="62"/>
        <v>-41.197183098591552</v>
      </c>
      <c r="H121" s="19">
        <v>625</v>
      </c>
      <c r="I121" s="27">
        <f t="shared" si="64"/>
        <v>-210</v>
      </c>
      <c r="J121" s="28">
        <f t="shared" si="73"/>
        <v>-25.149700598802394</v>
      </c>
      <c r="K121" s="19">
        <v>428</v>
      </c>
      <c r="L121" s="27">
        <f t="shared" si="66"/>
        <v>-197</v>
      </c>
      <c r="M121" s="28">
        <f t="shared" si="67"/>
        <v>-31.52</v>
      </c>
      <c r="N121" s="19">
        <v>365</v>
      </c>
      <c r="O121" s="27">
        <f t="shared" si="105"/>
        <v>-63</v>
      </c>
      <c r="P121" s="29">
        <f t="shared" si="70"/>
        <v>-14.719626168224298</v>
      </c>
    </row>
    <row r="122" spans="2:16" ht="15" thickBot="1">
      <c r="B122" s="9" t="s">
        <v>41</v>
      </c>
      <c r="C122" s="24" t="s">
        <v>212</v>
      </c>
      <c r="D122" s="23">
        <f>SUM(D123:D125)</f>
        <v>26560</v>
      </c>
      <c r="E122" s="23">
        <f t="shared" ref="E122" si="110">SUM(E123:E125)</f>
        <v>44982</v>
      </c>
      <c r="F122" s="27">
        <f t="shared" si="61"/>
        <v>18422</v>
      </c>
      <c r="G122" s="28">
        <f t="shared" si="62"/>
        <v>69.359939759036152</v>
      </c>
      <c r="H122" s="23">
        <f t="shared" ref="H122" si="111">SUM(H123:H125)</f>
        <v>42562</v>
      </c>
      <c r="I122" s="27">
        <f t="shared" si="64"/>
        <v>-2420</v>
      </c>
      <c r="J122" s="28">
        <f t="shared" si="73"/>
        <v>-5.3799297496776495</v>
      </c>
      <c r="K122" s="23">
        <f t="shared" ref="K122" si="112">SUM(K123:K125)</f>
        <v>29541</v>
      </c>
      <c r="L122" s="27">
        <f t="shared" si="66"/>
        <v>-13021</v>
      </c>
      <c r="M122" s="28">
        <f t="shared" si="67"/>
        <v>-30.593017245430197</v>
      </c>
      <c r="N122" s="23">
        <f t="shared" ref="N122" si="113">SUM(N123:N125)</f>
        <v>41078</v>
      </c>
      <c r="O122" s="27">
        <f t="shared" si="105"/>
        <v>11537</v>
      </c>
      <c r="P122" s="29">
        <f t="shared" si="70"/>
        <v>39.054195863376322</v>
      </c>
    </row>
    <row r="123" spans="2:16" ht="15" thickBot="1">
      <c r="B123" s="9" t="s">
        <v>9</v>
      </c>
      <c r="C123" s="18" t="s">
        <v>213</v>
      </c>
      <c r="D123" s="19">
        <v>4835</v>
      </c>
      <c r="E123" s="19">
        <v>15235</v>
      </c>
      <c r="F123" s="27">
        <f t="shared" si="61"/>
        <v>10400</v>
      </c>
      <c r="G123" s="28">
        <f t="shared" si="62"/>
        <v>215.09824198552226</v>
      </c>
      <c r="H123" s="19">
        <v>18206</v>
      </c>
      <c r="I123" s="27">
        <f t="shared" si="64"/>
        <v>2971</v>
      </c>
      <c r="J123" s="28">
        <f t="shared" si="73"/>
        <v>19.501148670823763</v>
      </c>
      <c r="K123" s="19">
        <v>10183</v>
      </c>
      <c r="L123" s="27">
        <f t="shared" si="66"/>
        <v>-8023</v>
      </c>
      <c r="M123" s="28">
        <f t="shared" si="67"/>
        <v>-44.067889706690103</v>
      </c>
      <c r="N123" s="19">
        <v>18932</v>
      </c>
      <c r="O123" s="27">
        <f t="shared" si="105"/>
        <v>8749</v>
      </c>
      <c r="P123" s="29">
        <f t="shared" si="70"/>
        <v>85.917705980555823</v>
      </c>
    </row>
    <row r="124" spans="2:16" ht="15" thickBot="1">
      <c r="B124" s="9" t="s">
        <v>11</v>
      </c>
      <c r="C124" s="18" t="s">
        <v>214</v>
      </c>
      <c r="D124" s="22">
        <v>21725</v>
      </c>
      <c r="E124" s="22">
        <v>29747</v>
      </c>
      <c r="F124" s="27">
        <f t="shared" si="61"/>
        <v>8022</v>
      </c>
      <c r="G124" s="28">
        <f t="shared" si="62"/>
        <v>36.925201380897583</v>
      </c>
      <c r="H124" s="22">
        <v>24356</v>
      </c>
      <c r="I124" s="27">
        <f t="shared" si="64"/>
        <v>-5391</v>
      </c>
      <c r="J124" s="28">
        <f t="shared" si="73"/>
        <v>-18.122835916226844</v>
      </c>
      <c r="K124" s="22">
        <v>19358</v>
      </c>
      <c r="L124" s="27">
        <f t="shared" si="66"/>
        <v>-4998</v>
      </c>
      <c r="M124" s="28">
        <f t="shared" si="67"/>
        <v>-20.520610937756611</v>
      </c>
      <c r="N124" s="22">
        <v>22146</v>
      </c>
      <c r="O124" s="27">
        <f t="shared" si="105"/>
        <v>2788</v>
      </c>
      <c r="P124" s="29">
        <f t="shared" si="70"/>
        <v>14.402314288666185</v>
      </c>
    </row>
    <row r="125" spans="2:16" ht="15" thickBot="1">
      <c r="B125" s="9" t="s">
        <v>13</v>
      </c>
      <c r="C125" s="18" t="s">
        <v>215</v>
      </c>
      <c r="D125" s="19">
        <v>0</v>
      </c>
      <c r="E125" s="19">
        <v>0</v>
      </c>
      <c r="F125" s="27">
        <f t="shared" si="61"/>
        <v>0</v>
      </c>
      <c r="G125" s="28" t="s">
        <v>227</v>
      </c>
      <c r="H125" s="19">
        <v>0</v>
      </c>
      <c r="I125" s="27">
        <f t="shared" si="64"/>
        <v>0</v>
      </c>
      <c r="J125" s="28" t="s">
        <v>227</v>
      </c>
      <c r="K125" s="19">
        <v>0</v>
      </c>
      <c r="L125" s="27">
        <f t="shared" si="66"/>
        <v>0</v>
      </c>
      <c r="M125" s="28" t="s">
        <v>227</v>
      </c>
      <c r="N125" s="19">
        <v>0</v>
      </c>
      <c r="O125" s="27">
        <f t="shared" si="105"/>
        <v>0</v>
      </c>
      <c r="P125" s="28" t="s">
        <v>227</v>
      </c>
    </row>
    <row r="126" spans="2:16" ht="15" thickBot="1">
      <c r="B126" s="172" t="s">
        <v>216</v>
      </c>
      <c r="C126" s="21" t="s">
        <v>217</v>
      </c>
      <c r="D126" s="20">
        <f>SUM(D127:D128)</f>
        <v>716</v>
      </c>
      <c r="E126" s="20">
        <f t="shared" ref="E126" si="114">SUM(E127:E128)</f>
        <v>389</v>
      </c>
      <c r="F126" s="27">
        <f t="shared" si="61"/>
        <v>-327</v>
      </c>
      <c r="G126" s="28">
        <f t="shared" si="62"/>
        <v>-45.670391061452513</v>
      </c>
      <c r="H126" s="20">
        <f t="shared" ref="H126" si="115">SUM(H127:H128)</f>
        <v>409</v>
      </c>
      <c r="I126" s="27">
        <f t="shared" si="64"/>
        <v>20</v>
      </c>
      <c r="J126" s="28">
        <f t="shared" si="73"/>
        <v>5.1413881748071981</v>
      </c>
      <c r="K126" s="20">
        <f t="shared" ref="K126" si="116">SUM(K127:K128)</f>
        <v>1004</v>
      </c>
      <c r="L126" s="27">
        <f t="shared" si="66"/>
        <v>595</v>
      </c>
      <c r="M126" s="28">
        <f t="shared" si="67"/>
        <v>145.47677261613691</v>
      </c>
      <c r="N126" s="20">
        <f t="shared" ref="N126" si="117">SUM(N127:N128)</f>
        <v>400</v>
      </c>
      <c r="O126" s="27">
        <f t="shared" si="105"/>
        <v>-604</v>
      </c>
      <c r="P126" s="29">
        <f t="shared" si="70"/>
        <v>-60.159362549800797</v>
      </c>
    </row>
    <row r="127" spans="2:16" ht="15" thickBot="1">
      <c r="B127" s="9" t="s">
        <v>9</v>
      </c>
      <c r="C127" s="18" t="s">
        <v>218</v>
      </c>
      <c r="D127" s="19">
        <v>623</v>
      </c>
      <c r="E127" s="19">
        <v>321</v>
      </c>
      <c r="F127" s="27">
        <f t="shared" si="61"/>
        <v>-302</v>
      </c>
      <c r="G127" s="28">
        <f t="shared" si="62"/>
        <v>-48.475120385232742</v>
      </c>
      <c r="H127" s="19">
        <v>340</v>
      </c>
      <c r="I127" s="27">
        <f t="shared" si="64"/>
        <v>19</v>
      </c>
      <c r="J127" s="28">
        <f t="shared" si="73"/>
        <v>5.9190031152647977</v>
      </c>
      <c r="K127" s="19">
        <v>912</v>
      </c>
      <c r="L127" s="27">
        <f t="shared" si="66"/>
        <v>572</v>
      </c>
      <c r="M127" s="28">
        <f t="shared" si="67"/>
        <v>168.23529411764707</v>
      </c>
      <c r="N127" s="19">
        <v>325</v>
      </c>
      <c r="O127" s="27">
        <f t="shared" si="105"/>
        <v>-587</v>
      </c>
      <c r="P127" s="29">
        <f t="shared" si="70"/>
        <v>-64.364035087719301</v>
      </c>
    </row>
    <row r="128" spans="2:16" ht="15" thickBot="1">
      <c r="B128" s="9" t="s">
        <v>11</v>
      </c>
      <c r="C128" s="18" t="s">
        <v>219</v>
      </c>
      <c r="D128" s="19">
        <v>93</v>
      </c>
      <c r="E128" s="19">
        <v>68</v>
      </c>
      <c r="F128" s="27">
        <f t="shared" si="61"/>
        <v>-25</v>
      </c>
      <c r="G128" s="28">
        <f t="shared" si="62"/>
        <v>-26.881720430107524</v>
      </c>
      <c r="H128" s="19">
        <v>69</v>
      </c>
      <c r="I128" s="27">
        <f t="shared" si="64"/>
        <v>1</v>
      </c>
      <c r="J128" s="28">
        <f t="shared" si="73"/>
        <v>1.4705882352941175</v>
      </c>
      <c r="K128" s="19">
        <v>92</v>
      </c>
      <c r="L128" s="27">
        <f t="shared" si="66"/>
        <v>23</v>
      </c>
      <c r="M128" s="28">
        <f t="shared" si="67"/>
        <v>33.333333333333329</v>
      </c>
      <c r="N128" s="19">
        <v>75</v>
      </c>
      <c r="O128" s="27">
        <f t="shared" si="105"/>
        <v>-17</v>
      </c>
      <c r="P128" s="29">
        <f>(N128-K128)/ABS(K128)*100</f>
        <v>-18.478260869565215</v>
      </c>
    </row>
  </sheetData>
  <mergeCells count="22">
    <mergeCell ref="H3:H4"/>
    <mergeCell ref="B3:B4"/>
    <mergeCell ref="C3:C4"/>
    <mergeCell ref="D3:D4"/>
    <mergeCell ref="E3:E4"/>
    <mergeCell ref="F3:G3"/>
    <mergeCell ref="B73:B74"/>
    <mergeCell ref="C73:C74"/>
    <mergeCell ref="D73:D74"/>
    <mergeCell ref="E73:E74"/>
    <mergeCell ref="F73:G73"/>
    <mergeCell ref="O73:P73"/>
    <mergeCell ref="I3:J3"/>
    <mergeCell ref="K3:K4"/>
    <mergeCell ref="L3:M3"/>
    <mergeCell ref="N3:N4"/>
    <mergeCell ref="O3:P3"/>
    <mergeCell ref="H73:H74"/>
    <mergeCell ref="I73:J73"/>
    <mergeCell ref="K73:K74"/>
    <mergeCell ref="L73:M73"/>
    <mergeCell ref="N73:N74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Rozvaha</vt:lpstr>
      <vt:lpstr>VZZ</vt:lpstr>
      <vt:lpstr>HA - Rozvaha</vt:lpstr>
      <vt:lpstr>HA - Rozvaha (výběr)</vt:lpstr>
      <vt:lpstr>HA - Rozvaha - word</vt:lpstr>
      <vt:lpstr>HA - VZZ</vt:lpstr>
      <vt:lpstr>HA - VZZ (výběr)</vt:lpstr>
      <vt:lpstr>HA - VZZ - word</vt:lpstr>
      <vt:lpstr>VA - Rozvaha</vt:lpstr>
      <vt:lpstr>VA - Rozvaha (výběr)</vt:lpstr>
      <vt:lpstr>VA - VZZ</vt:lpstr>
      <vt:lpstr>VA - VZZ (výběr)</vt:lpstr>
      <vt:lpstr>ČPK</vt:lpstr>
      <vt:lpstr>Rentabilita</vt:lpstr>
      <vt:lpstr>Zadluženost</vt:lpstr>
      <vt:lpstr>Likvidita</vt:lpstr>
      <vt:lpstr>Aktivita</vt:lpstr>
      <vt:lpstr>Bilanční pravidla</vt:lpstr>
      <vt:lpstr>Rozklad ROE</vt:lpstr>
      <vt:lpstr>Altmanův model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JanMelecky</dc:creator>
  <cp:lastModifiedBy>Roman Petrla</cp:lastModifiedBy>
  <cp:lastPrinted>2013-04-10T18:19:16Z</cp:lastPrinted>
  <dcterms:created xsi:type="dcterms:W3CDTF">2013-01-23T12:41:09Z</dcterms:created>
  <dcterms:modified xsi:type="dcterms:W3CDTF">2013-10-08T10:40:33Z</dcterms:modified>
</cp:coreProperties>
</file>